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3.xml" ContentType="application/vnd.openxmlformats-officedocument.drawing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4.xml" ContentType="application/vnd.openxmlformats-officedocument.drawing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drawings/drawing5.xml" ContentType="application/vnd.openxmlformats-officedocument.drawing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ternyet\Downloads\"/>
    </mc:Choice>
  </mc:AlternateContent>
  <xr:revisionPtr revIDLastSave="0" documentId="13_ncr:1_{FF20BF52-971E-4292-8A0C-8D2AD1B301CD}" xr6:coauthVersionLast="47" xr6:coauthVersionMax="47" xr10:uidLastSave="{00000000-0000-0000-0000-000000000000}"/>
  <bookViews>
    <workbookView xWindow="-110" yWindow="-110" windowWidth="38620" windowHeight="21220" xr2:uid="{6CE665A6-209E-4FE7-B8D9-C2D8AC532D49}"/>
  </bookViews>
  <sheets>
    <sheet name="Munkalapok" sheetId="11" r:id="rId1"/>
    <sheet name="Peremszámok" sheetId="6" r:id="rId2"/>
    <sheet name="Bázis modell AKM-ei" sheetId="5" r:id="rId3"/>
    <sheet name="Bazis modell FES adatai" sheetId="1" r:id="rId4"/>
    <sheet name="Variánsképzés" sheetId="12" r:id="rId5"/>
    <sheet name="Előrejelzési variáns" sheetId="14" r:id="rId6"/>
    <sheet name="Elemzés 1" sheetId="13" r:id="rId7"/>
    <sheet name="Elemzés 2" sheetId="15" r:id="rId8"/>
    <sheet name="Elemzés 3" sheetId="16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26" i="1" l="1"/>
  <c r="AO118" i="15"/>
  <c r="AO118" i="16" s="1"/>
  <c r="AH112" i="16"/>
  <c r="AO120" i="15"/>
  <c r="AO120" i="16" s="1"/>
  <c r="AH112" i="15"/>
  <c r="I3" i="16"/>
  <c r="J3" i="16"/>
  <c r="N3" i="16" s="1"/>
  <c r="K3" i="16"/>
  <c r="O3" i="16" s="1"/>
  <c r="L3" i="16"/>
  <c r="P3" i="16" s="1"/>
  <c r="M3" i="16"/>
  <c r="H6" i="16"/>
  <c r="L6" i="16" s="1"/>
  <c r="P6" i="16"/>
  <c r="D10" i="16"/>
  <c r="D11" i="16"/>
  <c r="D36" i="16" s="1"/>
  <c r="D12" i="16"/>
  <c r="D13" i="16"/>
  <c r="D38" i="16" s="1"/>
  <c r="D63" i="16" s="1"/>
  <c r="D88" i="16" s="1"/>
  <c r="D14" i="16"/>
  <c r="D39" i="16" s="1"/>
  <c r="D64" i="16" s="1"/>
  <c r="D89" i="16" s="1"/>
  <c r="D15" i="16"/>
  <c r="D40" i="16" s="1"/>
  <c r="D65" i="16" s="1"/>
  <c r="D90" i="16" s="1"/>
  <c r="D16" i="16"/>
  <c r="D17" i="16"/>
  <c r="D42" i="16" s="1"/>
  <c r="D67" i="16" s="1"/>
  <c r="D92" i="16" s="1"/>
  <c r="D18" i="16"/>
  <c r="D43" i="16" s="1"/>
  <c r="D68" i="16" s="1"/>
  <c r="D93" i="16" s="1"/>
  <c r="D19" i="16"/>
  <c r="D44" i="16" s="1"/>
  <c r="D20" i="16"/>
  <c r="M21" i="16"/>
  <c r="N21" i="16"/>
  <c r="O21" i="16"/>
  <c r="P21" i="16"/>
  <c r="D22" i="16"/>
  <c r="D47" i="16" s="1"/>
  <c r="D72" i="16" s="1"/>
  <c r="D97" i="16" s="1"/>
  <c r="D23" i="16"/>
  <c r="D24" i="16"/>
  <c r="D49" i="16" s="1"/>
  <c r="D74" i="16" s="1"/>
  <c r="D99" i="16" s="1"/>
  <c r="D25" i="16"/>
  <c r="D50" i="16" s="1"/>
  <c r="D75" i="16" s="1"/>
  <c r="D100" i="16" s="1"/>
  <c r="D26" i="16"/>
  <c r="D51" i="16" s="1"/>
  <c r="D76" i="16" s="1"/>
  <c r="D101" i="16" s="1"/>
  <c r="D27" i="16"/>
  <c r="D28" i="16"/>
  <c r="D29" i="16"/>
  <c r="D54" i="16" s="1"/>
  <c r="D79" i="16" s="1"/>
  <c r="D104" i="16" s="1"/>
  <c r="D35" i="16"/>
  <c r="D60" i="16" s="1"/>
  <c r="D85" i="16" s="1"/>
  <c r="D37" i="16"/>
  <c r="D41" i="16"/>
  <c r="D66" i="16" s="1"/>
  <c r="D91" i="16" s="1"/>
  <c r="D45" i="16"/>
  <c r="I46" i="16"/>
  <c r="J46" i="16"/>
  <c r="N46" i="16" s="1"/>
  <c r="K46" i="16"/>
  <c r="L46" i="16"/>
  <c r="P46" i="16" s="1"/>
  <c r="M46" i="16"/>
  <c r="O46" i="16"/>
  <c r="D48" i="16"/>
  <c r="D73" i="16" s="1"/>
  <c r="D98" i="16" s="1"/>
  <c r="D52" i="16"/>
  <c r="D77" i="16" s="1"/>
  <c r="D102" i="16" s="1"/>
  <c r="D53" i="16"/>
  <c r="D78" i="16" s="1"/>
  <c r="D103" i="16" s="1"/>
  <c r="D61" i="16"/>
  <c r="D86" i="16" s="1"/>
  <c r="D62" i="16"/>
  <c r="D87" i="16" s="1"/>
  <c r="D69" i="16"/>
  <c r="D94" i="16" s="1"/>
  <c r="D70" i="16"/>
  <c r="D95" i="16" s="1"/>
  <c r="I71" i="16"/>
  <c r="M71" i="16" s="1"/>
  <c r="J71" i="16"/>
  <c r="N71" i="16" s="1"/>
  <c r="K71" i="16"/>
  <c r="O71" i="16" s="1"/>
  <c r="L71" i="16"/>
  <c r="P71" i="16" s="1"/>
  <c r="AX112" i="16"/>
  <c r="AQ112" i="16"/>
  <c r="T124" i="16"/>
  <c r="AY124" i="16" s="1"/>
  <c r="W124" i="16"/>
  <c r="AM124" i="16" s="1"/>
  <c r="AI127" i="16" s="1"/>
  <c r="Z124" i="16"/>
  <c r="R136" i="16" s="1"/>
  <c r="AW136" i="16" s="1"/>
  <c r="AC124" i="16"/>
  <c r="AZ124" i="16"/>
  <c r="BA124" i="16"/>
  <c r="BC124" i="16"/>
  <c r="BD124" i="16"/>
  <c r="BF124" i="16"/>
  <c r="BG124" i="16"/>
  <c r="T125" i="16"/>
  <c r="AJ125" i="16" s="1"/>
  <c r="AM125" i="16" s="1"/>
  <c r="AP125" i="16" s="1"/>
  <c r="AS125" i="16" s="1"/>
  <c r="U125" i="16"/>
  <c r="AZ125" i="16" s="1"/>
  <c r="V125" i="16"/>
  <c r="AL125" i="16" s="1"/>
  <c r="AO125" i="16" s="1"/>
  <c r="AR125" i="16" s="1"/>
  <c r="AU125" i="16" s="1"/>
  <c r="BA125" i="16"/>
  <c r="S126" i="16"/>
  <c r="AX126" i="16" s="1"/>
  <c r="S127" i="16"/>
  <c r="AX127" i="16" s="1"/>
  <c r="S128" i="16"/>
  <c r="S133" i="16" s="1"/>
  <c r="AX128" i="16"/>
  <c r="AX129" i="16"/>
  <c r="AX130" i="16"/>
  <c r="S131" i="16"/>
  <c r="AX131" i="16" s="1"/>
  <c r="S134" i="16"/>
  <c r="S139" i="16" s="1"/>
  <c r="AX134" i="16"/>
  <c r="S135" i="16"/>
  <c r="S140" i="16" s="1"/>
  <c r="D17" i="13"/>
  <c r="D42" i="13" s="1"/>
  <c r="D13" i="13"/>
  <c r="D38" i="13" s="1"/>
  <c r="D7" i="13"/>
  <c r="D8" i="13" s="1"/>
  <c r="D16" i="13" s="1"/>
  <c r="D41" i="13" s="1"/>
  <c r="D6" i="13"/>
  <c r="D14" i="13" s="1"/>
  <c r="D39" i="13" s="1"/>
  <c r="C22" i="13"/>
  <c r="C28" i="13" s="1"/>
  <c r="C23" i="13"/>
  <c r="C29" i="13" s="1"/>
  <c r="C24" i="13"/>
  <c r="C30" i="13" s="1"/>
  <c r="C14" i="13"/>
  <c r="C15" i="13"/>
  <c r="C16" i="13"/>
  <c r="C13" i="13"/>
  <c r="C21" i="13" s="1"/>
  <c r="C27" i="13" s="1"/>
  <c r="AH12" i="14"/>
  <c r="AI12" i="14"/>
  <c r="AJ12" i="14"/>
  <c r="AK12" i="14"/>
  <c r="AL12" i="14"/>
  <c r="AH13" i="14"/>
  <c r="AI13" i="14"/>
  <c r="AJ13" i="14"/>
  <c r="AK13" i="14"/>
  <c r="AL13" i="14"/>
  <c r="AH14" i="14"/>
  <c r="AI14" i="14"/>
  <c r="AJ14" i="14"/>
  <c r="AK14" i="14"/>
  <c r="AL14" i="14"/>
  <c r="AH15" i="14"/>
  <c r="AI15" i="14"/>
  <c r="AJ15" i="14"/>
  <c r="AK15" i="14"/>
  <c r="AL15" i="14"/>
  <c r="AH16" i="14"/>
  <c r="AI16" i="14"/>
  <c r="AJ16" i="14"/>
  <c r="AK16" i="14"/>
  <c r="AL16" i="14"/>
  <c r="AH17" i="14"/>
  <c r="AI17" i="14"/>
  <c r="AJ17" i="14"/>
  <c r="AK17" i="14"/>
  <c r="AL17" i="14"/>
  <c r="Y12" i="14"/>
  <c r="Z12" i="14"/>
  <c r="AA12" i="14"/>
  <c r="AB12" i="14"/>
  <c r="AC12" i="14"/>
  <c r="Y13" i="14"/>
  <c r="Z13" i="14"/>
  <c r="AA13" i="14"/>
  <c r="AB13" i="14"/>
  <c r="Y14" i="14"/>
  <c r="Z14" i="14"/>
  <c r="AA14" i="14"/>
  <c r="AB14" i="14"/>
  <c r="Y15" i="14"/>
  <c r="Z15" i="14"/>
  <c r="AA15" i="14"/>
  <c r="AB15" i="14"/>
  <c r="AC15" i="14"/>
  <c r="Z16" i="14"/>
  <c r="AC16" i="14"/>
  <c r="Y17" i="14"/>
  <c r="Z17" i="14"/>
  <c r="AC17" i="14"/>
  <c r="AD4" i="14"/>
  <c r="U4" i="14"/>
  <c r="C39" i="13"/>
  <c r="C46" i="13" s="1"/>
  <c r="C40" i="13"/>
  <c r="C47" i="13" s="1"/>
  <c r="C41" i="13"/>
  <c r="C48" i="13" s="1"/>
  <c r="C38" i="13"/>
  <c r="C45" i="13" s="1"/>
  <c r="S135" i="13"/>
  <c r="S140" i="13" s="1"/>
  <c r="S145" i="13" s="1"/>
  <c r="S150" i="13" s="1"/>
  <c r="S136" i="13"/>
  <c r="S137" i="13"/>
  <c r="S142" i="13" s="1"/>
  <c r="S147" i="13" s="1"/>
  <c r="S152" i="13" s="1"/>
  <c r="S141" i="13"/>
  <c r="S146" i="13" s="1"/>
  <c r="S151" i="13" s="1"/>
  <c r="S143" i="13"/>
  <c r="S148" i="13" s="1"/>
  <c r="S153" i="13" s="1"/>
  <c r="S144" i="13"/>
  <c r="S149" i="13" s="1"/>
  <c r="S154" i="13" s="1"/>
  <c r="AX129" i="15"/>
  <c r="AX130" i="15"/>
  <c r="AZ124" i="15"/>
  <c r="BA124" i="15"/>
  <c r="BC124" i="15"/>
  <c r="BD124" i="15"/>
  <c r="BF124" i="15"/>
  <c r="BG124" i="15"/>
  <c r="AY125" i="16" l="1"/>
  <c r="W125" i="16"/>
  <c r="Z125" i="16" s="1"/>
  <c r="BE125" i="16" s="1"/>
  <c r="Y125" i="16"/>
  <c r="AB125" i="16" s="1"/>
  <c r="AE125" i="16" s="1"/>
  <c r="BJ125" i="16" s="1"/>
  <c r="D15" i="13"/>
  <c r="D40" i="13" s="1"/>
  <c r="AX133" i="16"/>
  <c r="S138" i="16"/>
  <c r="AX139" i="16"/>
  <c r="S144" i="16"/>
  <c r="S136" i="16"/>
  <c r="AX136" i="16" s="1"/>
  <c r="BE124" i="16"/>
  <c r="S132" i="16"/>
  <c r="AX132" i="16" s="1"/>
  <c r="BD125" i="16"/>
  <c r="R131" i="16"/>
  <c r="AW131" i="16" s="1"/>
  <c r="AP124" i="16"/>
  <c r="AI128" i="16" s="1"/>
  <c r="BB124" i="16"/>
  <c r="BG125" i="16"/>
  <c r="S141" i="16"/>
  <c r="R141" i="16"/>
  <c r="AS124" i="16"/>
  <c r="AI129" i="16" s="1"/>
  <c r="BH124" i="16"/>
  <c r="AX138" i="16"/>
  <c r="S143" i="16"/>
  <c r="AJ124" i="16"/>
  <c r="AI126" i="16" s="1"/>
  <c r="R126" i="16"/>
  <c r="AW126" i="16" s="1"/>
  <c r="X125" i="16"/>
  <c r="AK125" i="16"/>
  <c r="AN125" i="16" s="1"/>
  <c r="AQ125" i="16" s="1"/>
  <c r="AT125" i="16" s="1"/>
  <c r="S145" i="16"/>
  <c r="AX140" i="16"/>
  <c r="AX135" i="16"/>
  <c r="AO112" i="15"/>
  <c r="S134" i="15"/>
  <c r="S135" i="15"/>
  <c r="S128" i="15"/>
  <c r="S126" i="15"/>
  <c r="S127" i="15"/>
  <c r="U125" i="15"/>
  <c r="V125" i="15"/>
  <c r="T125" i="15"/>
  <c r="AC124" i="15"/>
  <c r="Z124" i="15"/>
  <c r="R136" i="15" s="1"/>
  <c r="AW136" i="15" s="1"/>
  <c r="W124" i="15"/>
  <c r="R131" i="15" s="1"/>
  <c r="AW131" i="15" s="1"/>
  <c r="T124" i="15"/>
  <c r="R126" i="15" s="1"/>
  <c r="AW126" i="15" s="1"/>
  <c r="I3" i="15"/>
  <c r="M3" i="15" s="1"/>
  <c r="J3" i="15"/>
  <c r="N3" i="15" s="1"/>
  <c r="K3" i="15"/>
  <c r="O3" i="15" s="1"/>
  <c r="L3" i="15"/>
  <c r="P3" i="15" s="1"/>
  <c r="D10" i="15"/>
  <c r="D35" i="15" s="1"/>
  <c r="D60" i="15" s="1"/>
  <c r="D85" i="15" s="1"/>
  <c r="D11" i="15"/>
  <c r="D36" i="15" s="1"/>
  <c r="D61" i="15" s="1"/>
  <c r="D86" i="15" s="1"/>
  <c r="D12" i="15"/>
  <c r="D37" i="15" s="1"/>
  <c r="D62" i="15" s="1"/>
  <c r="D87" i="15" s="1"/>
  <c r="D13" i="15"/>
  <c r="D38" i="15" s="1"/>
  <c r="D63" i="15" s="1"/>
  <c r="D88" i="15" s="1"/>
  <c r="D14" i="15"/>
  <c r="D39" i="15" s="1"/>
  <c r="D64" i="15" s="1"/>
  <c r="D89" i="15" s="1"/>
  <c r="D15" i="15"/>
  <c r="D40" i="15" s="1"/>
  <c r="D65" i="15" s="1"/>
  <c r="D90" i="15" s="1"/>
  <c r="D16" i="15"/>
  <c r="D41" i="15" s="1"/>
  <c r="D66" i="15" s="1"/>
  <c r="D91" i="15" s="1"/>
  <c r="D17" i="15"/>
  <c r="D42" i="15" s="1"/>
  <c r="D67" i="15" s="1"/>
  <c r="D92" i="15" s="1"/>
  <c r="D18" i="15"/>
  <c r="D43" i="15" s="1"/>
  <c r="D68" i="15" s="1"/>
  <c r="D93" i="15" s="1"/>
  <c r="D19" i="15"/>
  <c r="D44" i="15" s="1"/>
  <c r="D69" i="15" s="1"/>
  <c r="D94" i="15" s="1"/>
  <c r="D20" i="15"/>
  <c r="D45" i="15" s="1"/>
  <c r="D70" i="15" s="1"/>
  <c r="D95" i="15" s="1"/>
  <c r="M21" i="15"/>
  <c r="N21" i="15"/>
  <c r="O21" i="15"/>
  <c r="P21" i="15"/>
  <c r="D22" i="15"/>
  <c r="D47" i="15" s="1"/>
  <c r="D72" i="15" s="1"/>
  <c r="D97" i="15" s="1"/>
  <c r="D23" i="15"/>
  <c r="D48" i="15" s="1"/>
  <c r="D73" i="15" s="1"/>
  <c r="D98" i="15" s="1"/>
  <c r="D24" i="15"/>
  <c r="D49" i="15" s="1"/>
  <c r="D74" i="15" s="1"/>
  <c r="D99" i="15" s="1"/>
  <c r="D25" i="15"/>
  <c r="D50" i="15" s="1"/>
  <c r="D75" i="15" s="1"/>
  <c r="D100" i="15" s="1"/>
  <c r="D26" i="15"/>
  <c r="D51" i="15" s="1"/>
  <c r="D76" i="15" s="1"/>
  <c r="D101" i="15" s="1"/>
  <c r="D27" i="15"/>
  <c r="D52" i="15" s="1"/>
  <c r="D77" i="15" s="1"/>
  <c r="D102" i="15" s="1"/>
  <c r="D28" i="15"/>
  <c r="D53" i="15" s="1"/>
  <c r="D78" i="15" s="1"/>
  <c r="D103" i="15" s="1"/>
  <c r="D29" i="15"/>
  <c r="D54" i="15" s="1"/>
  <c r="D79" i="15" s="1"/>
  <c r="D104" i="15" s="1"/>
  <c r="I46" i="15"/>
  <c r="M46" i="15" s="1"/>
  <c r="J46" i="15"/>
  <c r="N46" i="15" s="1"/>
  <c r="K46" i="15"/>
  <c r="O46" i="15" s="1"/>
  <c r="L46" i="15"/>
  <c r="P46" i="15" s="1"/>
  <c r="I71" i="15"/>
  <c r="M71" i="15" s="1"/>
  <c r="J71" i="15"/>
  <c r="N71" i="15" s="1"/>
  <c r="K71" i="15"/>
  <c r="O71" i="15" s="1"/>
  <c r="L71" i="15"/>
  <c r="P71" i="15" s="1"/>
  <c r="AX112" i="15"/>
  <c r="Z133" i="13"/>
  <c r="AH133" i="13"/>
  <c r="AH137" i="13"/>
  <c r="AH138" i="13"/>
  <c r="AH139" i="13"/>
  <c r="AH136" i="13"/>
  <c r="AH135" i="13"/>
  <c r="U134" i="13"/>
  <c r="R140" i="13" s="1"/>
  <c r="V134" i="13"/>
  <c r="W134" i="13"/>
  <c r="AE134" i="13" s="1"/>
  <c r="T134" i="13"/>
  <c r="D60" i="13"/>
  <c r="D81" i="13" s="1"/>
  <c r="D102" i="13" s="1"/>
  <c r="D123" i="13" s="1"/>
  <c r="P61" i="13"/>
  <c r="O61" i="13"/>
  <c r="N61" i="13"/>
  <c r="M61" i="13"/>
  <c r="L103" i="13"/>
  <c r="P103" i="13" s="1"/>
  <c r="K103" i="13"/>
  <c r="O103" i="13" s="1"/>
  <c r="J103" i="13"/>
  <c r="N103" i="13" s="1"/>
  <c r="I103" i="13"/>
  <c r="M103" i="13" s="1"/>
  <c r="L91" i="13"/>
  <c r="P91" i="13" s="1"/>
  <c r="K91" i="13"/>
  <c r="O91" i="13" s="1"/>
  <c r="J91" i="13"/>
  <c r="N91" i="13" s="1"/>
  <c r="I91" i="13"/>
  <c r="M91" i="13" s="1"/>
  <c r="L82" i="13"/>
  <c r="P82" i="13" s="1"/>
  <c r="K82" i="13"/>
  <c r="O82" i="13" s="1"/>
  <c r="J82" i="13"/>
  <c r="N82" i="13" s="1"/>
  <c r="I82" i="13"/>
  <c r="M82" i="13" s="1"/>
  <c r="L70" i="13"/>
  <c r="P70" i="13" s="1"/>
  <c r="K70" i="13"/>
  <c r="O70" i="13" s="1"/>
  <c r="J70" i="13"/>
  <c r="N70" i="13" s="1"/>
  <c r="I70" i="13"/>
  <c r="M70" i="13" s="1"/>
  <c r="L3" i="13"/>
  <c r="P3" i="13" s="1"/>
  <c r="D63" i="13"/>
  <c r="D84" i="13" s="1"/>
  <c r="D105" i="13" s="1"/>
  <c r="D126" i="13" s="1"/>
  <c r="D64" i="13"/>
  <c r="D85" i="13" s="1"/>
  <c r="D106" i="13" s="1"/>
  <c r="D127" i="13" s="1"/>
  <c r="D65" i="13"/>
  <c r="D86" i="13" s="1"/>
  <c r="D107" i="13" s="1"/>
  <c r="D128" i="13" s="1"/>
  <c r="D66" i="13"/>
  <c r="D87" i="13" s="1"/>
  <c r="D108" i="13" s="1"/>
  <c r="D129" i="13" s="1"/>
  <c r="D67" i="13"/>
  <c r="D88" i="13" s="1"/>
  <c r="D109" i="13" s="1"/>
  <c r="D130" i="13" s="1"/>
  <c r="D68" i="13"/>
  <c r="D89" i="13" s="1"/>
  <c r="D110" i="13" s="1"/>
  <c r="D131" i="13" s="1"/>
  <c r="D69" i="13"/>
  <c r="D90" i="13" s="1"/>
  <c r="D111" i="13" s="1"/>
  <c r="D132" i="13" s="1"/>
  <c r="D62" i="13"/>
  <c r="D83" i="13" s="1"/>
  <c r="D104" i="13" s="1"/>
  <c r="D125" i="13" s="1"/>
  <c r="D51" i="13"/>
  <c r="D72" i="13" s="1"/>
  <c r="D93" i="13" s="1"/>
  <c r="D114" i="13" s="1"/>
  <c r="D52" i="13"/>
  <c r="D73" i="13" s="1"/>
  <c r="D94" i="13" s="1"/>
  <c r="D115" i="13" s="1"/>
  <c r="D53" i="13"/>
  <c r="D74" i="13" s="1"/>
  <c r="D95" i="13" s="1"/>
  <c r="D116" i="13" s="1"/>
  <c r="D54" i="13"/>
  <c r="D75" i="13" s="1"/>
  <c r="D96" i="13" s="1"/>
  <c r="D117" i="13" s="1"/>
  <c r="D55" i="13"/>
  <c r="D76" i="13" s="1"/>
  <c r="D97" i="13" s="1"/>
  <c r="D118" i="13" s="1"/>
  <c r="D56" i="13"/>
  <c r="D77" i="13" s="1"/>
  <c r="D98" i="13" s="1"/>
  <c r="D119" i="13" s="1"/>
  <c r="D57" i="13"/>
  <c r="D78" i="13" s="1"/>
  <c r="D99" i="13" s="1"/>
  <c r="D120" i="13" s="1"/>
  <c r="D58" i="13"/>
  <c r="D79" i="13" s="1"/>
  <c r="D100" i="13" s="1"/>
  <c r="D121" i="13" s="1"/>
  <c r="D59" i="13"/>
  <c r="D80" i="13" s="1"/>
  <c r="D101" i="13" s="1"/>
  <c r="D122" i="13" s="1"/>
  <c r="D50" i="13"/>
  <c r="D71" i="13" s="1"/>
  <c r="D92" i="13" s="1"/>
  <c r="D113" i="13" s="1"/>
  <c r="B24" i="14"/>
  <c r="B25" i="14"/>
  <c r="B26" i="14"/>
  <c r="B27" i="14"/>
  <c r="B28" i="14"/>
  <c r="B29" i="14"/>
  <c r="B30" i="14"/>
  <c r="B31" i="14"/>
  <c r="B32" i="14"/>
  <c r="B33" i="14"/>
  <c r="B35" i="14"/>
  <c r="B36" i="14"/>
  <c r="B37" i="14"/>
  <c r="B38" i="14"/>
  <c r="B39" i="14"/>
  <c r="B40" i="14"/>
  <c r="B41" i="14"/>
  <c r="B42" i="14"/>
  <c r="B23" i="14"/>
  <c r="V3" i="14"/>
  <c r="V2" i="14"/>
  <c r="AE3" i="14"/>
  <c r="AE2" i="14"/>
  <c r="L3" i="14"/>
  <c r="L2" i="14"/>
  <c r="C3" i="12"/>
  <c r="C3" i="14"/>
  <c r="C2" i="14"/>
  <c r="D4" i="14"/>
  <c r="M4" i="14" s="1"/>
  <c r="V4" i="14" s="1"/>
  <c r="AE4" i="14" s="1"/>
  <c r="E4" i="14"/>
  <c r="N4" i="14" s="1"/>
  <c r="W4" i="14" s="1"/>
  <c r="AF4" i="14" s="1"/>
  <c r="F4" i="14"/>
  <c r="O4" i="14" s="1"/>
  <c r="X4" i="14" s="1"/>
  <c r="AG4" i="14" s="1"/>
  <c r="G4" i="14"/>
  <c r="P4" i="14" s="1"/>
  <c r="Y4" i="14" s="1"/>
  <c r="AH4" i="14" s="1"/>
  <c r="H4" i="14"/>
  <c r="Q4" i="14" s="1"/>
  <c r="Z4" i="14" s="1"/>
  <c r="AI4" i="14" s="1"/>
  <c r="I4" i="14"/>
  <c r="R4" i="14" s="1"/>
  <c r="AA4" i="14" s="1"/>
  <c r="AJ4" i="14" s="1"/>
  <c r="J4" i="14"/>
  <c r="S4" i="14" s="1"/>
  <c r="AB4" i="14" s="1"/>
  <c r="AK4" i="14" s="1"/>
  <c r="K4" i="14"/>
  <c r="T4" i="14" s="1"/>
  <c r="C4" i="14"/>
  <c r="L4" i="14" s="1"/>
  <c r="B6" i="14"/>
  <c r="B7" i="14"/>
  <c r="B8" i="14"/>
  <c r="B9" i="14"/>
  <c r="B10" i="14"/>
  <c r="B11" i="14"/>
  <c r="B12" i="14"/>
  <c r="B13" i="14"/>
  <c r="B14" i="14"/>
  <c r="B15" i="14"/>
  <c r="B16" i="14"/>
  <c r="B17" i="14"/>
  <c r="B5" i="14"/>
  <c r="J3" i="13"/>
  <c r="N3" i="13" s="1"/>
  <c r="K3" i="13"/>
  <c r="O3" i="13" s="1"/>
  <c r="I3" i="13"/>
  <c r="M3" i="13" s="1"/>
  <c r="M4" i="12"/>
  <c r="V4" i="12" s="1"/>
  <c r="AE4" i="12" s="1"/>
  <c r="N4" i="12"/>
  <c r="O4" i="12"/>
  <c r="P4" i="12"/>
  <c r="Q4" i="12"/>
  <c r="Z4" i="12" s="1"/>
  <c r="AI4" i="12" s="1"/>
  <c r="R4" i="12"/>
  <c r="AA4" i="12" s="1"/>
  <c r="AJ4" i="12" s="1"/>
  <c r="S4" i="12"/>
  <c r="T4" i="12"/>
  <c r="AC4" i="12" s="1"/>
  <c r="AL4" i="12" s="1"/>
  <c r="L4" i="12"/>
  <c r="U4" i="12" s="1"/>
  <c r="AD4" i="12" s="1"/>
  <c r="V2" i="12"/>
  <c r="W2" i="12"/>
  <c r="X2" i="12"/>
  <c r="Y2" i="12"/>
  <c r="Z2" i="12"/>
  <c r="AA2" i="12"/>
  <c r="AB2" i="12"/>
  <c r="AC2" i="12"/>
  <c r="AE2" i="12"/>
  <c r="AF2" i="12"/>
  <c r="AG2" i="12"/>
  <c r="AH2" i="12"/>
  <c r="AI2" i="12"/>
  <c r="AJ2" i="12"/>
  <c r="AK2" i="12"/>
  <c r="AL2" i="12"/>
  <c r="U3" i="12"/>
  <c r="AD3" i="12" s="1"/>
  <c r="V3" i="12"/>
  <c r="W3" i="12"/>
  <c r="X3" i="12"/>
  <c r="Y3" i="12"/>
  <c r="Z3" i="12"/>
  <c r="AA3" i="12"/>
  <c r="AB3" i="12"/>
  <c r="AC3" i="12"/>
  <c r="AE3" i="12"/>
  <c r="AF3" i="12"/>
  <c r="AG3" i="12"/>
  <c r="AH3" i="12"/>
  <c r="AI3" i="12"/>
  <c r="AJ3" i="12"/>
  <c r="AK3" i="12"/>
  <c r="AL3" i="12"/>
  <c r="W4" i="12"/>
  <c r="AF4" i="12" s="1"/>
  <c r="X4" i="12"/>
  <c r="AG4" i="12" s="1"/>
  <c r="Y4" i="12"/>
  <c r="AH4" i="12" s="1"/>
  <c r="AB4" i="12"/>
  <c r="AK4" i="12" s="1"/>
  <c r="T29" i="12"/>
  <c r="T45" i="12" s="1"/>
  <c r="T50" i="12" s="1"/>
  <c r="T55" i="12" s="1"/>
  <c r="T30" i="12"/>
  <c r="T46" i="12" s="1"/>
  <c r="T51" i="12" s="1"/>
  <c r="T56" i="12" s="1"/>
  <c r="T31" i="12"/>
  <c r="T47" i="12" s="1"/>
  <c r="T52" i="12" s="1"/>
  <c r="T57" i="12" s="1"/>
  <c r="AE41" i="12"/>
  <c r="AO119" i="15" s="1"/>
  <c r="AO119" i="16" l="1"/>
  <c r="AC125" i="16"/>
  <c r="BH125" i="16" s="1"/>
  <c r="BB125" i="16"/>
  <c r="BH124" i="15"/>
  <c r="R141" i="15"/>
  <c r="W125" i="15"/>
  <c r="AY125" i="15"/>
  <c r="AL125" i="15"/>
  <c r="AO125" i="15" s="1"/>
  <c r="AR125" i="15" s="1"/>
  <c r="AU125" i="15" s="1"/>
  <c r="BA125" i="15"/>
  <c r="AK125" i="15"/>
  <c r="AN125" i="15" s="1"/>
  <c r="AQ125" i="15" s="1"/>
  <c r="AT125" i="15" s="1"/>
  <c r="AZ125" i="15"/>
  <c r="S137" i="16"/>
  <c r="S142" i="16" s="1"/>
  <c r="BC125" i="16"/>
  <c r="AA125" i="16"/>
  <c r="AC4" i="14"/>
  <c r="AL4" i="14" s="1"/>
  <c r="H6" i="15"/>
  <c r="L6" i="15" s="1"/>
  <c r="AK134" i="13"/>
  <c r="R145" i="13"/>
  <c r="AD134" i="13"/>
  <c r="AB134" i="13"/>
  <c r="R135" i="13"/>
  <c r="AC134" i="13"/>
  <c r="AL134" i="13"/>
  <c r="R150" i="13"/>
  <c r="AJ134" i="13"/>
  <c r="AI134" i="13"/>
  <c r="S132" i="15"/>
  <c r="AX127" i="15"/>
  <c r="AJ124" i="15"/>
  <c r="AI126" i="15" s="1"/>
  <c r="AY124" i="15"/>
  <c r="S131" i="15"/>
  <c r="AX126" i="15"/>
  <c r="AM124" i="15"/>
  <c r="AI127" i="15" s="1"/>
  <c r="BB124" i="15"/>
  <c r="S133" i="15"/>
  <c r="AX128" i="15"/>
  <c r="AP124" i="15"/>
  <c r="AI128" i="15" s="1"/>
  <c r="BE124" i="15"/>
  <c r="S140" i="15"/>
  <c r="AX135" i="15"/>
  <c r="S139" i="15"/>
  <c r="AX134" i="15"/>
  <c r="AS124" i="15"/>
  <c r="AI129" i="15" s="1"/>
  <c r="Y125" i="15"/>
  <c r="X125" i="15"/>
  <c r="AJ125" i="15"/>
  <c r="AM125" i="15" s="1"/>
  <c r="AP125" i="15" s="1"/>
  <c r="AS125" i="15" s="1"/>
  <c r="AX137" i="16" l="1"/>
  <c r="AX139" i="15"/>
  <c r="S144" i="15"/>
  <c r="AB125" i="15"/>
  <c r="BD125" i="15"/>
  <c r="AX140" i="15"/>
  <c r="S145" i="15"/>
  <c r="AA125" i="15"/>
  <c r="BC125" i="15"/>
  <c r="Z125" i="15"/>
  <c r="BB125" i="15"/>
  <c r="AD125" i="16"/>
  <c r="BI125" i="16" s="1"/>
  <c r="BF125" i="16"/>
  <c r="P6" i="15"/>
  <c r="S136" i="15"/>
  <c r="AX131" i="15"/>
  <c r="S138" i="15"/>
  <c r="AX133" i="15"/>
  <c r="S137" i="15"/>
  <c r="AX132" i="15"/>
  <c r="AX136" i="15" l="1"/>
  <c r="S141" i="15"/>
  <c r="AD125" i="15"/>
  <c r="BI125" i="15" s="1"/>
  <c r="BF125" i="15"/>
  <c r="AE125" i="15"/>
  <c r="BJ125" i="15" s="1"/>
  <c r="BG125" i="15"/>
  <c r="AX137" i="15"/>
  <c r="S142" i="15"/>
  <c r="AX138" i="15"/>
  <c r="S143" i="15"/>
  <c r="AC125" i="15"/>
  <c r="BH125" i="15" s="1"/>
  <c r="BE125" i="15"/>
  <c r="BN189" i="1"/>
  <c r="BM189" i="1"/>
  <c r="BL189" i="1"/>
  <c r="BJ189" i="1"/>
  <c r="BI189" i="1"/>
  <c r="BH189" i="1"/>
  <c r="BF189" i="1"/>
  <c r="BE189" i="1"/>
  <c r="BD189" i="1"/>
  <c r="BB189" i="1"/>
  <c r="BA189" i="1"/>
  <c r="AZ189" i="1"/>
  <c r="BN188" i="1"/>
  <c r="BM188" i="1"/>
  <c r="BL188" i="1"/>
  <c r="BJ188" i="1"/>
  <c r="BI188" i="1"/>
  <c r="BH188" i="1"/>
  <c r="BF188" i="1"/>
  <c r="BE188" i="1"/>
  <c r="BD188" i="1"/>
  <c r="BB188" i="1"/>
  <c r="BA188" i="1"/>
  <c r="AZ188" i="1"/>
  <c r="BN187" i="1"/>
  <c r="BM187" i="1"/>
  <c r="BL187" i="1"/>
  <c r="BJ187" i="1"/>
  <c r="BI187" i="1"/>
  <c r="BH187" i="1"/>
  <c r="BF187" i="1"/>
  <c r="BE187" i="1"/>
  <c r="BD187" i="1"/>
  <c r="BB187" i="1"/>
  <c r="BA187" i="1"/>
  <c r="AZ187" i="1"/>
  <c r="BN186" i="1"/>
  <c r="BM186" i="1"/>
  <c r="BL186" i="1"/>
  <c r="BJ186" i="1"/>
  <c r="BI186" i="1"/>
  <c r="BH186" i="1"/>
  <c r="BF186" i="1"/>
  <c r="BE186" i="1"/>
  <c r="BD186" i="1"/>
  <c r="BB186" i="1"/>
  <c r="BA186" i="1"/>
  <c r="AZ186" i="1"/>
  <c r="BN185" i="1"/>
  <c r="BM185" i="1"/>
  <c r="BL185" i="1"/>
  <c r="BJ185" i="1"/>
  <c r="BI185" i="1"/>
  <c r="BH185" i="1"/>
  <c r="BF185" i="1"/>
  <c r="BE185" i="1"/>
  <c r="BD185" i="1"/>
  <c r="BB185" i="1"/>
  <c r="BA185" i="1"/>
  <c r="AZ185" i="1"/>
  <c r="BN184" i="1"/>
  <c r="BM184" i="1"/>
  <c r="BL184" i="1"/>
  <c r="BJ184" i="1"/>
  <c r="BI184" i="1"/>
  <c r="BH184" i="1"/>
  <c r="BF184" i="1"/>
  <c r="BE184" i="1"/>
  <c r="BD184" i="1"/>
  <c r="BB184" i="1"/>
  <c r="BA184" i="1"/>
  <c r="AZ184" i="1"/>
  <c r="BN183" i="1"/>
  <c r="BM183" i="1"/>
  <c r="BL183" i="1"/>
  <c r="BJ183" i="1"/>
  <c r="BI183" i="1"/>
  <c r="BH183" i="1"/>
  <c r="BF183" i="1"/>
  <c r="BE183" i="1"/>
  <c r="BD183" i="1"/>
  <c r="BB183" i="1"/>
  <c r="BA183" i="1"/>
  <c r="AZ183" i="1"/>
  <c r="BN180" i="1"/>
  <c r="BM180" i="1"/>
  <c r="BL180" i="1"/>
  <c r="BJ180" i="1"/>
  <c r="BI180" i="1"/>
  <c r="BH180" i="1"/>
  <c r="BF180" i="1"/>
  <c r="BE180" i="1"/>
  <c r="BD180" i="1"/>
  <c r="BB180" i="1"/>
  <c r="BA180" i="1"/>
  <c r="AZ180" i="1"/>
  <c r="BN179" i="1"/>
  <c r="BM179" i="1"/>
  <c r="BL179" i="1"/>
  <c r="BJ179" i="1"/>
  <c r="BI179" i="1"/>
  <c r="BH179" i="1"/>
  <c r="BF179" i="1"/>
  <c r="BE179" i="1"/>
  <c r="BD179" i="1"/>
  <c r="BB179" i="1"/>
  <c r="BA179" i="1"/>
  <c r="AZ179" i="1"/>
  <c r="BN178" i="1"/>
  <c r="BM178" i="1"/>
  <c r="BL178" i="1"/>
  <c r="BJ178" i="1"/>
  <c r="BI178" i="1"/>
  <c r="BH178" i="1"/>
  <c r="BF178" i="1"/>
  <c r="BE178" i="1"/>
  <c r="BD178" i="1"/>
  <c r="BB178" i="1"/>
  <c r="BA178" i="1"/>
  <c r="AZ178" i="1"/>
  <c r="BN177" i="1"/>
  <c r="BM177" i="1"/>
  <c r="BL177" i="1"/>
  <c r="BJ177" i="1"/>
  <c r="BI177" i="1"/>
  <c r="BH177" i="1"/>
  <c r="BF177" i="1"/>
  <c r="BE177" i="1"/>
  <c r="BD177" i="1"/>
  <c r="BB177" i="1"/>
  <c r="BA177" i="1"/>
  <c r="AZ177" i="1"/>
  <c r="BN176" i="1"/>
  <c r="BM176" i="1"/>
  <c r="BL176" i="1"/>
  <c r="BJ176" i="1"/>
  <c r="BI176" i="1"/>
  <c r="BH176" i="1"/>
  <c r="BF176" i="1"/>
  <c r="BE176" i="1"/>
  <c r="BD176" i="1"/>
  <c r="BB176" i="1"/>
  <c r="BA176" i="1"/>
  <c r="AZ176" i="1"/>
  <c r="BN175" i="1"/>
  <c r="BM175" i="1"/>
  <c r="BL175" i="1"/>
  <c r="BJ175" i="1"/>
  <c r="BI175" i="1"/>
  <c r="BH175" i="1"/>
  <c r="BF175" i="1"/>
  <c r="BE175" i="1"/>
  <c r="BD175" i="1"/>
  <c r="BB175" i="1"/>
  <c r="BA175" i="1"/>
  <c r="AZ175" i="1"/>
  <c r="BN174" i="1"/>
  <c r="BM174" i="1"/>
  <c r="BL174" i="1"/>
  <c r="BJ174" i="1"/>
  <c r="BI174" i="1"/>
  <c r="BH174" i="1"/>
  <c r="BF174" i="1"/>
  <c r="BE174" i="1"/>
  <c r="BD174" i="1"/>
  <c r="BB174" i="1"/>
  <c r="BA174" i="1"/>
  <c r="AZ174" i="1"/>
  <c r="BN173" i="1"/>
  <c r="BM173" i="1"/>
  <c r="BL173" i="1"/>
  <c r="BJ173" i="1"/>
  <c r="BI173" i="1"/>
  <c r="BH173" i="1"/>
  <c r="BF173" i="1"/>
  <c r="BE173" i="1"/>
  <c r="BD173" i="1"/>
  <c r="BB173" i="1"/>
  <c r="BA173" i="1"/>
  <c r="AZ173" i="1"/>
  <c r="BN172" i="1"/>
  <c r="BM172" i="1"/>
  <c r="BL172" i="1"/>
  <c r="BJ172" i="1"/>
  <c r="BI172" i="1"/>
  <c r="BH172" i="1"/>
  <c r="BF172" i="1"/>
  <c r="BE172" i="1"/>
  <c r="BD172" i="1"/>
  <c r="BB172" i="1"/>
  <c r="BA172" i="1"/>
  <c r="AZ172" i="1"/>
  <c r="BN171" i="1"/>
  <c r="BM171" i="1"/>
  <c r="BL171" i="1"/>
  <c r="BJ171" i="1"/>
  <c r="BI171" i="1"/>
  <c r="BH171" i="1"/>
  <c r="BF171" i="1"/>
  <c r="BE171" i="1"/>
  <c r="BD171" i="1"/>
  <c r="BB171" i="1"/>
  <c r="BA171" i="1"/>
  <c r="AZ171" i="1"/>
  <c r="D78" i="1"/>
  <c r="D112" i="1" l="1"/>
  <c r="D107" i="1"/>
  <c r="D108" i="1"/>
  <c r="D109" i="1"/>
  <c r="D110" i="1"/>
  <c r="D111" i="1"/>
  <c r="D132" i="1"/>
  <c r="D133" i="1"/>
  <c r="D134" i="1"/>
  <c r="D135" i="1"/>
  <c r="D136" i="1"/>
  <c r="D137" i="1"/>
  <c r="D157" i="1"/>
  <c r="D158" i="1"/>
  <c r="D159" i="1"/>
  <c r="D160" i="1"/>
  <c r="D161" i="1"/>
  <c r="D162" i="1"/>
  <c r="D156" i="1"/>
  <c r="D144" i="1"/>
  <c r="D145" i="1"/>
  <c r="D146" i="1"/>
  <c r="D147" i="1"/>
  <c r="D148" i="1"/>
  <c r="D149" i="1"/>
  <c r="D150" i="1"/>
  <c r="D151" i="1"/>
  <c r="D152" i="1"/>
  <c r="D143" i="1"/>
  <c r="D131" i="1"/>
  <c r="D119" i="1"/>
  <c r="D120" i="1"/>
  <c r="D121" i="1"/>
  <c r="D122" i="1"/>
  <c r="D123" i="1"/>
  <c r="D124" i="1"/>
  <c r="D125" i="1"/>
  <c r="D126" i="1"/>
  <c r="D127" i="1"/>
  <c r="D118" i="1"/>
  <c r="D106" i="1"/>
  <c r="D95" i="1"/>
  <c r="D96" i="1"/>
  <c r="D97" i="1"/>
  <c r="D98" i="1"/>
  <c r="D99" i="1"/>
  <c r="D100" i="1"/>
  <c r="D101" i="1"/>
  <c r="D102" i="1"/>
  <c r="D94" i="1"/>
  <c r="D82" i="1"/>
  <c r="D83" i="1"/>
  <c r="D84" i="1"/>
  <c r="D85" i="1"/>
  <c r="D86" i="1"/>
  <c r="D87" i="1"/>
  <c r="D81" i="1"/>
  <c r="D69" i="1"/>
  <c r="D70" i="1"/>
  <c r="D71" i="1"/>
  <c r="D72" i="1"/>
  <c r="D73" i="1"/>
  <c r="D74" i="1"/>
  <c r="D75" i="1"/>
  <c r="D76" i="1"/>
  <c r="D77" i="1"/>
  <c r="D68" i="1"/>
  <c r="D26" i="1" l="1"/>
  <c r="E26" i="1"/>
  <c r="F26" i="1"/>
  <c r="G26" i="1"/>
  <c r="N35" i="14"/>
  <c r="N36" i="14"/>
  <c r="N37" i="14"/>
  <c r="N38" i="14"/>
  <c r="N39" i="14"/>
  <c r="N40" i="14"/>
  <c r="N41" i="14"/>
  <c r="E35" i="14"/>
  <c r="E36" i="14"/>
  <c r="E37" i="14"/>
  <c r="E38" i="14"/>
  <c r="E39" i="14"/>
  <c r="E40" i="14"/>
  <c r="E41" i="14"/>
  <c r="M35" i="14"/>
  <c r="M36" i="14"/>
  <c r="M37" i="14"/>
  <c r="M38" i="14"/>
  <c r="M39" i="14"/>
  <c r="M40" i="14"/>
  <c r="M41" i="14"/>
  <c r="D35" i="14"/>
  <c r="D36" i="14"/>
  <c r="D37" i="14"/>
  <c r="D38" i="14"/>
  <c r="D39" i="14"/>
  <c r="D40" i="14"/>
  <c r="D41" i="14"/>
  <c r="L35" i="14"/>
  <c r="L36" i="14"/>
  <c r="L37" i="14"/>
  <c r="L38" i="14"/>
  <c r="L39" i="14"/>
  <c r="L40" i="14"/>
  <c r="L41" i="14"/>
  <c r="C35" i="14"/>
  <c r="C36" i="14"/>
  <c r="C37" i="14"/>
  <c r="C38" i="14"/>
  <c r="C39" i="14"/>
  <c r="C40" i="14"/>
  <c r="C41" i="14"/>
  <c r="G24" i="1"/>
  <c r="F24" i="1"/>
  <c r="E24" i="1"/>
  <c r="D24" i="1"/>
  <c r="E15" i="1"/>
  <c r="F15" i="1"/>
  <c r="G15" i="1"/>
  <c r="D15" i="1"/>
  <c r="N23" i="14"/>
  <c r="N24" i="14"/>
  <c r="N25" i="14"/>
  <c r="N26" i="14"/>
  <c r="N27" i="14"/>
  <c r="N28" i="14"/>
  <c r="N29" i="14"/>
  <c r="N30" i="14"/>
  <c r="N31" i="14"/>
  <c r="N32" i="14"/>
  <c r="E23" i="14"/>
  <c r="E24" i="14"/>
  <c r="E25" i="14"/>
  <c r="E26" i="14"/>
  <c r="E27" i="14"/>
  <c r="E28" i="14"/>
  <c r="E29" i="14"/>
  <c r="E30" i="14"/>
  <c r="E31" i="14"/>
  <c r="E32" i="14"/>
  <c r="M23" i="14"/>
  <c r="M24" i="14"/>
  <c r="M25" i="14"/>
  <c r="M26" i="14"/>
  <c r="M27" i="14"/>
  <c r="M28" i="14"/>
  <c r="M29" i="14"/>
  <c r="M30" i="14"/>
  <c r="M31" i="14"/>
  <c r="M32" i="14"/>
  <c r="D23" i="14"/>
  <c r="D24" i="14"/>
  <c r="D25" i="14"/>
  <c r="D26" i="14"/>
  <c r="D27" i="14"/>
  <c r="D28" i="14"/>
  <c r="D29" i="14"/>
  <c r="D30" i="14"/>
  <c r="D31" i="14"/>
  <c r="D32" i="14"/>
  <c r="L23" i="14"/>
  <c r="L24" i="14"/>
  <c r="L25" i="14"/>
  <c r="L26" i="14"/>
  <c r="L27" i="14"/>
  <c r="L28" i="14"/>
  <c r="L29" i="14"/>
  <c r="L30" i="14"/>
  <c r="L31" i="14"/>
  <c r="L32" i="14"/>
  <c r="C23" i="14"/>
  <c r="C25" i="14"/>
  <c r="C27" i="14"/>
  <c r="C29" i="14"/>
  <c r="C31" i="14"/>
  <c r="K12" i="1" l="1"/>
  <c r="F30" i="14" s="1"/>
  <c r="C30" i="14"/>
  <c r="K6" i="1"/>
  <c r="F24" i="14" s="1"/>
  <c r="C24" i="14"/>
  <c r="E80" i="13"/>
  <c r="I80" i="13" s="1"/>
  <c r="M80" i="13" s="1"/>
  <c r="E44" i="16"/>
  <c r="E44" i="15"/>
  <c r="I44" i="15" s="1"/>
  <c r="M44" i="15" s="1"/>
  <c r="E43" i="15"/>
  <c r="I43" i="15" s="1"/>
  <c r="M43" i="15" s="1"/>
  <c r="E43" i="16"/>
  <c r="E79" i="13"/>
  <c r="E78" i="13"/>
  <c r="I78" i="13" s="1"/>
  <c r="M78" i="13" s="1"/>
  <c r="E42" i="16"/>
  <c r="E42" i="15"/>
  <c r="E41" i="15"/>
  <c r="I41" i="15" s="1"/>
  <c r="M41" i="15" s="1"/>
  <c r="E41" i="16"/>
  <c r="I41" i="16" s="1"/>
  <c r="M41" i="16" s="1"/>
  <c r="E77" i="13"/>
  <c r="E76" i="13"/>
  <c r="I76" i="13" s="1"/>
  <c r="M76" i="13" s="1"/>
  <c r="E40" i="16"/>
  <c r="I40" i="16" s="1"/>
  <c r="M40" i="16" s="1"/>
  <c r="E40" i="15"/>
  <c r="E39" i="15"/>
  <c r="I39" i="15" s="1"/>
  <c r="M39" i="15" s="1"/>
  <c r="E39" i="16"/>
  <c r="E75" i="13"/>
  <c r="I75" i="13" s="1"/>
  <c r="M75" i="13" s="1"/>
  <c r="E74" i="13"/>
  <c r="I74" i="13" s="1"/>
  <c r="M74" i="13" s="1"/>
  <c r="E38" i="16"/>
  <c r="I38" i="16" s="1"/>
  <c r="M38" i="16" s="1"/>
  <c r="E38" i="15"/>
  <c r="I38" i="15" s="1"/>
  <c r="M38" i="15" s="1"/>
  <c r="E37" i="15"/>
  <c r="E37" i="16"/>
  <c r="I37" i="16" s="1"/>
  <c r="M37" i="16" s="1"/>
  <c r="E73" i="13"/>
  <c r="E72" i="13"/>
  <c r="I72" i="13" s="1"/>
  <c r="M72" i="13" s="1"/>
  <c r="E36" i="16"/>
  <c r="E36" i="15"/>
  <c r="I36" i="15" s="1"/>
  <c r="M36" i="15" s="1"/>
  <c r="E35" i="15"/>
  <c r="I35" i="15" s="1"/>
  <c r="M35" i="15" s="1"/>
  <c r="E35" i="16"/>
  <c r="I35" i="16" s="1"/>
  <c r="M35" i="16" s="1"/>
  <c r="E71" i="13"/>
  <c r="F19" i="15"/>
  <c r="F19" i="16"/>
  <c r="F59" i="13"/>
  <c r="J59" i="13" s="1"/>
  <c r="N59" i="13" s="1"/>
  <c r="F17" i="15"/>
  <c r="F17" i="16"/>
  <c r="J17" i="16" s="1"/>
  <c r="N17" i="16" s="1"/>
  <c r="F57" i="13"/>
  <c r="J57" i="13" s="1"/>
  <c r="N57" i="13" s="1"/>
  <c r="F15" i="15"/>
  <c r="J15" i="15" s="1"/>
  <c r="N15" i="15" s="1"/>
  <c r="F15" i="16"/>
  <c r="J15" i="16" s="1"/>
  <c r="N15" i="16" s="1"/>
  <c r="F55" i="13"/>
  <c r="F53" i="13"/>
  <c r="J53" i="13" s="1"/>
  <c r="N53" i="13" s="1"/>
  <c r="F13" i="16"/>
  <c r="J13" i="16" s="1"/>
  <c r="N13" i="16" s="1"/>
  <c r="F13" i="15"/>
  <c r="J13" i="15" s="1"/>
  <c r="N13" i="15" s="1"/>
  <c r="F11" i="15"/>
  <c r="F11" i="16"/>
  <c r="F51" i="13"/>
  <c r="J51" i="13" s="1"/>
  <c r="N51" i="13" s="1"/>
  <c r="F80" i="13"/>
  <c r="J80" i="13" s="1"/>
  <c r="N80" i="13" s="1"/>
  <c r="F44" i="16"/>
  <c r="J44" i="16" s="1"/>
  <c r="N44" i="16" s="1"/>
  <c r="F44" i="15"/>
  <c r="J44" i="15" s="1"/>
  <c r="N44" i="15" s="1"/>
  <c r="F78" i="13"/>
  <c r="J78" i="13" s="1"/>
  <c r="N78" i="13" s="1"/>
  <c r="F42" i="16"/>
  <c r="J42" i="16" s="1"/>
  <c r="N42" i="16" s="1"/>
  <c r="F42" i="15"/>
  <c r="J42" i="15" s="1"/>
  <c r="N42" i="15" s="1"/>
  <c r="F76" i="13"/>
  <c r="J76" i="13" s="1"/>
  <c r="N76" i="13" s="1"/>
  <c r="F40" i="16"/>
  <c r="J40" i="16" s="1"/>
  <c r="N40" i="16" s="1"/>
  <c r="F40" i="15"/>
  <c r="F74" i="13"/>
  <c r="J74" i="13" s="1"/>
  <c r="N74" i="13" s="1"/>
  <c r="F38" i="16"/>
  <c r="J38" i="16" s="1"/>
  <c r="N38" i="16" s="1"/>
  <c r="F38" i="15"/>
  <c r="J38" i="15" s="1"/>
  <c r="N38" i="15" s="1"/>
  <c r="F72" i="13"/>
  <c r="J72" i="13" s="1"/>
  <c r="N72" i="13" s="1"/>
  <c r="F36" i="16"/>
  <c r="F36" i="15"/>
  <c r="J36" i="15" s="1"/>
  <c r="N36" i="15" s="1"/>
  <c r="G59" i="13"/>
  <c r="G19" i="16"/>
  <c r="K19" i="16" s="1"/>
  <c r="O19" i="16" s="1"/>
  <c r="G19" i="15"/>
  <c r="K19" i="15" s="1"/>
  <c r="O19" i="15" s="1"/>
  <c r="G17" i="15"/>
  <c r="G17" i="16"/>
  <c r="K17" i="16" s="1"/>
  <c r="O17" i="16" s="1"/>
  <c r="G57" i="13"/>
  <c r="K57" i="13" s="1"/>
  <c r="O57" i="13" s="1"/>
  <c r="G15" i="15"/>
  <c r="K15" i="15" s="1"/>
  <c r="O15" i="15" s="1"/>
  <c r="G15" i="16"/>
  <c r="K15" i="16" s="1"/>
  <c r="O15" i="16" s="1"/>
  <c r="G55" i="13"/>
  <c r="G13" i="15"/>
  <c r="K13" i="15" s="1"/>
  <c r="O13" i="15" s="1"/>
  <c r="G13" i="16"/>
  <c r="K13" i="16" s="1"/>
  <c r="O13" i="16" s="1"/>
  <c r="G53" i="13"/>
  <c r="K53" i="13" s="1"/>
  <c r="O53" i="13" s="1"/>
  <c r="G11" i="15"/>
  <c r="K11" i="15" s="1"/>
  <c r="O11" i="15" s="1"/>
  <c r="G11" i="16"/>
  <c r="G51" i="13"/>
  <c r="G80" i="13"/>
  <c r="K80" i="13" s="1"/>
  <c r="O80" i="13" s="1"/>
  <c r="G44" i="16"/>
  <c r="G44" i="15"/>
  <c r="K44" i="15" s="1"/>
  <c r="O44" i="15" s="1"/>
  <c r="G78" i="13"/>
  <c r="K78" i="13" s="1"/>
  <c r="O78" i="13" s="1"/>
  <c r="G42" i="16"/>
  <c r="G42" i="15"/>
  <c r="K42" i="15" s="1"/>
  <c r="O42" i="15" s="1"/>
  <c r="G76" i="13"/>
  <c r="K76" i="13" s="1"/>
  <c r="O76" i="13" s="1"/>
  <c r="G40" i="16"/>
  <c r="G40" i="15"/>
  <c r="G74" i="13"/>
  <c r="K74" i="13" s="1"/>
  <c r="O74" i="13" s="1"/>
  <c r="G38" i="16"/>
  <c r="K38" i="16" s="1"/>
  <c r="O38" i="16" s="1"/>
  <c r="G38" i="15"/>
  <c r="G72" i="13"/>
  <c r="K72" i="13" s="1"/>
  <c r="O72" i="13" s="1"/>
  <c r="G36" i="16"/>
  <c r="G36" i="15"/>
  <c r="K36" i="15" s="1"/>
  <c r="O36" i="15" s="1"/>
  <c r="E28" i="15"/>
  <c r="I28" i="15" s="1"/>
  <c r="M28" i="15" s="1"/>
  <c r="E28" i="16"/>
  <c r="I28" i="16" s="1"/>
  <c r="M28" i="16" s="1"/>
  <c r="E68" i="13"/>
  <c r="I68" i="13" s="1"/>
  <c r="M68" i="13" s="1"/>
  <c r="E66" i="13"/>
  <c r="I66" i="13" s="1"/>
  <c r="M66" i="13" s="1"/>
  <c r="E26" i="16"/>
  <c r="I26" i="16" s="1"/>
  <c r="M26" i="16" s="1"/>
  <c r="E26" i="15"/>
  <c r="I26" i="15" s="1"/>
  <c r="M26" i="15" s="1"/>
  <c r="E24" i="15"/>
  <c r="E24" i="16"/>
  <c r="I24" i="16" s="1"/>
  <c r="M24" i="16" s="1"/>
  <c r="E64" i="13"/>
  <c r="I64" i="13" s="1"/>
  <c r="M64" i="13" s="1"/>
  <c r="E22" i="15"/>
  <c r="E22" i="16"/>
  <c r="I22" i="16" s="1"/>
  <c r="M22" i="16" s="1"/>
  <c r="E62" i="13"/>
  <c r="I62" i="13" s="1"/>
  <c r="M62" i="13" s="1"/>
  <c r="F28" i="15"/>
  <c r="J28" i="15" s="1"/>
  <c r="N28" i="15" s="1"/>
  <c r="F28" i="16"/>
  <c r="F68" i="13"/>
  <c r="J68" i="13" s="1"/>
  <c r="N68" i="13" s="1"/>
  <c r="F66" i="13"/>
  <c r="J66" i="13" s="1"/>
  <c r="N66" i="13" s="1"/>
  <c r="F26" i="16"/>
  <c r="J26" i="16" s="1"/>
  <c r="N26" i="16" s="1"/>
  <c r="F26" i="15"/>
  <c r="J26" i="15" s="1"/>
  <c r="N26" i="15" s="1"/>
  <c r="F24" i="15"/>
  <c r="F24" i="16"/>
  <c r="F64" i="13"/>
  <c r="J64" i="13" s="1"/>
  <c r="N64" i="13" s="1"/>
  <c r="F22" i="15"/>
  <c r="F22" i="16"/>
  <c r="F62" i="13"/>
  <c r="J62" i="13" s="1"/>
  <c r="N62" i="13" s="1"/>
  <c r="F89" i="13"/>
  <c r="J89" i="13" s="1"/>
  <c r="N89" i="13" s="1"/>
  <c r="F53" i="16"/>
  <c r="J53" i="16" s="1"/>
  <c r="N53" i="16" s="1"/>
  <c r="F53" i="15"/>
  <c r="J53" i="15" s="1"/>
  <c r="N53" i="15" s="1"/>
  <c r="F87" i="13"/>
  <c r="J87" i="13" s="1"/>
  <c r="N87" i="13" s="1"/>
  <c r="F51" i="16"/>
  <c r="J51" i="16" s="1"/>
  <c r="N51" i="16" s="1"/>
  <c r="F51" i="15"/>
  <c r="J51" i="15" s="1"/>
  <c r="N51" i="15" s="1"/>
  <c r="F85" i="13"/>
  <c r="J85" i="13" s="1"/>
  <c r="N85" i="13" s="1"/>
  <c r="F49" i="16"/>
  <c r="J49" i="16" s="1"/>
  <c r="N49" i="16" s="1"/>
  <c r="F49" i="15"/>
  <c r="F83" i="13"/>
  <c r="J83" i="13" s="1"/>
  <c r="N83" i="13" s="1"/>
  <c r="F47" i="16"/>
  <c r="F47" i="15"/>
  <c r="G28" i="15"/>
  <c r="K28" i="15" s="1"/>
  <c r="O28" i="15" s="1"/>
  <c r="G28" i="16"/>
  <c r="K28" i="16" s="1"/>
  <c r="O28" i="16" s="1"/>
  <c r="G68" i="13"/>
  <c r="G26" i="15"/>
  <c r="K26" i="15" s="1"/>
  <c r="O26" i="15" s="1"/>
  <c r="G26" i="16"/>
  <c r="K26" i="16" s="1"/>
  <c r="O26" i="16" s="1"/>
  <c r="G66" i="13"/>
  <c r="K66" i="13" s="1"/>
  <c r="O66" i="13" s="1"/>
  <c r="G64" i="13"/>
  <c r="K64" i="13" s="1"/>
  <c r="O64" i="13" s="1"/>
  <c r="G24" i="16"/>
  <c r="K24" i="16" s="1"/>
  <c r="O24" i="16" s="1"/>
  <c r="G24" i="15"/>
  <c r="G22" i="15"/>
  <c r="G22" i="16"/>
  <c r="G62" i="13"/>
  <c r="K62" i="13" s="1"/>
  <c r="O62" i="13" s="1"/>
  <c r="G89" i="13"/>
  <c r="K89" i="13" s="1"/>
  <c r="O89" i="13" s="1"/>
  <c r="G53" i="16"/>
  <c r="K53" i="16" s="1"/>
  <c r="O53" i="16" s="1"/>
  <c r="G53" i="15"/>
  <c r="K53" i="15" s="1"/>
  <c r="O53" i="15" s="1"/>
  <c r="G87" i="13"/>
  <c r="K87" i="13" s="1"/>
  <c r="O87" i="13" s="1"/>
  <c r="G51" i="16"/>
  <c r="G51" i="15"/>
  <c r="K51" i="15" s="1"/>
  <c r="O51" i="15" s="1"/>
  <c r="G85" i="13"/>
  <c r="K85" i="13" s="1"/>
  <c r="O85" i="13" s="1"/>
  <c r="G49" i="16"/>
  <c r="G49" i="15"/>
  <c r="G83" i="13"/>
  <c r="K83" i="13" s="1"/>
  <c r="O83" i="13" s="1"/>
  <c r="G47" i="16"/>
  <c r="G47" i="15"/>
  <c r="K14" i="1"/>
  <c r="F32" i="14" s="1"/>
  <c r="C32" i="14"/>
  <c r="K10" i="1"/>
  <c r="F28" i="14" s="1"/>
  <c r="C28" i="14"/>
  <c r="K8" i="1"/>
  <c r="F26" i="14" s="1"/>
  <c r="C26" i="14"/>
  <c r="E58" i="13"/>
  <c r="E18" i="16"/>
  <c r="E18" i="15"/>
  <c r="I18" i="15" s="1"/>
  <c r="M18" i="15" s="1"/>
  <c r="E56" i="13"/>
  <c r="E16" i="16"/>
  <c r="E16" i="15"/>
  <c r="E54" i="13"/>
  <c r="E14" i="16"/>
  <c r="E14" i="15"/>
  <c r="E52" i="13"/>
  <c r="E12" i="16"/>
  <c r="I12" i="16" s="1"/>
  <c r="M12" i="16" s="1"/>
  <c r="E12" i="15"/>
  <c r="I12" i="15" s="1"/>
  <c r="M12" i="15" s="1"/>
  <c r="E10" i="15"/>
  <c r="I10" i="15" s="1"/>
  <c r="M10" i="15" s="1"/>
  <c r="E10" i="16"/>
  <c r="I10" i="16" s="1"/>
  <c r="M10" i="16" s="1"/>
  <c r="E50" i="13"/>
  <c r="F18" i="15"/>
  <c r="J18" i="15" s="1"/>
  <c r="N18" i="15" s="1"/>
  <c r="F18" i="16"/>
  <c r="F58" i="13"/>
  <c r="J58" i="13" s="1"/>
  <c r="N58" i="13" s="1"/>
  <c r="F56" i="13"/>
  <c r="J56" i="13" s="1"/>
  <c r="N56" i="13" s="1"/>
  <c r="F16" i="16"/>
  <c r="J16" i="16" s="1"/>
  <c r="N16" i="16" s="1"/>
  <c r="F16" i="15"/>
  <c r="F54" i="13"/>
  <c r="J54" i="13" s="1"/>
  <c r="N54" i="13" s="1"/>
  <c r="F14" i="16"/>
  <c r="F14" i="15"/>
  <c r="J14" i="15" s="1"/>
  <c r="N14" i="15" s="1"/>
  <c r="F52" i="13"/>
  <c r="J52" i="13" s="1"/>
  <c r="N52" i="13" s="1"/>
  <c r="F12" i="16"/>
  <c r="J12" i="16" s="1"/>
  <c r="N12" i="16" s="1"/>
  <c r="F12" i="15"/>
  <c r="F10" i="15"/>
  <c r="J10" i="15" s="1"/>
  <c r="N10" i="15" s="1"/>
  <c r="F10" i="16"/>
  <c r="J10" i="16" s="1"/>
  <c r="N10" i="16" s="1"/>
  <c r="F50" i="13"/>
  <c r="J50" i="13" s="1"/>
  <c r="N50" i="13" s="1"/>
  <c r="F43" i="15"/>
  <c r="F43" i="16"/>
  <c r="F79" i="13"/>
  <c r="J79" i="13" s="1"/>
  <c r="N79" i="13" s="1"/>
  <c r="F77" i="13"/>
  <c r="J77" i="13" s="1"/>
  <c r="N77" i="13" s="1"/>
  <c r="F41" i="16"/>
  <c r="F41" i="15"/>
  <c r="J41" i="15" s="1"/>
  <c r="N41" i="15" s="1"/>
  <c r="F39" i="15"/>
  <c r="J39" i="15" s="1"/>
  <c r="N39" i="15" s="1"/>
  <c r="F39" i="16"/>
  <c r="F75" i="13"/>
  <c r="J75" i="13" s="1"/>
  <c r="N75" i="13" s="1"/>
  <c r="F73" i="13"/>
  <c r="J73" i="13" s="1"/>
  <c r="N73" i="13" s="1"/>
  <c r="F37" i="16"/>
  <c r="F37" i="15"/>
  <c r="F71" i="13"/>
  <c r="J71" i="13" s="1"/>
  <c r="N71" i="13" s="1"/>
  <c r="F35" i="16"/>
  <c r="J35" i="16" s="1"/>
  <c r="N35" i="16" s="1"/>
  <c r="F35" i="15"/>
  <c r="G18" i="15"/>
  <c r="K18" i="15" s="1"/>
  <c r="O18" i="15" s="1"/>
  <c r="G18" i="16"/>
  <c r="G58" i="13"/>
  <c r="K58" i="13" s="1"/>
  <c r="O58" i="13" s="1"/>
  <c r="G56" i="13"/>
  <c r="G16" i="16"/>
  <c r="K16" i="16" s="1"/>
  <c r="O16" i="16" s="1"/>
  <c r="G16" i="15"/>
  <c r="K16" i="15" s="1"/>
  <c r="O16" i="15" s="1"/>
  <c r="G14" i="15"/>
  <c r="G14" i="16"/>
  <c r="G54" i="13"/>
  <c r="K54" i="13" s="1"/>
  <c r="O54" i="13" s="1"/>
  <c r="G12" i="15"/>
  <c r="G12" i="16"/>
  <c r="K12" i="16" s="1"/>
  <c r="O12" i="16" s="1"/>
  <c r="G52" i="13"/>
  <c r="K52" i="13" s="1"/>
  <c r="O52" i="13" s="1"/>
  <c r="G10" i="15"/>
  <c r="K10" i="15" s="1"/>
  <c r="O10" i="15" s="1"/>
  <c r="G10" i="16"/>
  <c r="K10" i="16" s="1"/>
  <c r="O10" i="16" s="1"/>
  <c r="G50" i="13"/>
  <c r="G43" i="15"/>
  <c r="G43" i="16"/>
  <c r="G79" i="13"/>
  <c r="K79" i="13" s="1"/>
  <c r="O79" i="13" s="1"/>
  <c r="G41" i="15"/>
  <c r="K41" i="15" s="1"/>
  <c r="O41" i="15" s="1"/>
  <c r="G41" i="16"/>
  <c r="K41" i="16" s="1"/>
  <c r="O41" i="16" s="1"/>
  <c r="G77" i="13"/>
  <c r="K77" i="13" s="1"/>
  <c r="O77" i="13" s="1"/>
  <c r="G39" i="15"/>
  <c r="K39" i="15" s="1"/>
  <c r="O39" i="15" s="1"/>
  <c r="G39" i="16"/>
  <c r="G75" i="13"/>
  <c r="K75" i="13" s="1"/>
  <c r="O75" i="13" s="1"/>
  <c r="G37" i="15"/>
  <c r="K37" i="15" s="1"/>
  <c r="O37" i="15" s="1"/>
  <c r="G37" i="16"/>
  <c r="K37" i="16" s="1"/>
  <c r="O37" i="16" s="1"/>
  <c r="G73" i="13"/>
  <c r="K73" i="13" s="1"/>
  <c r="O73" i="13" s="1"/>
  <c r="G71" i="13"/>
  <c r="K71" i="13" s="1"/>
  <c r="O71" i="13" s="1"/>
  <c r="G35" i="16"/>
  <c r="K35" i="16" s="1"/>
  <c r="O35" i="16" s="1"/>
  <c r="G35" i="15"/>
  <c r="E67" i="13"/>
  <c r="I67" i="13" s="1"/>
  <c r="M67" i="13" s="1"/>
  <c r="E27" i="16"/>
  <c r="E27" i="15"/>
  <c r="E65" i="13"/>
  <c r="I65" i="13" s="1"/>
  <c r="M65" i="13" s="1"/>
  <c r="E25" i="16"/>
  <c r="E25" i="15"/>
  <c r="I25" i="15" s="1"/>
  <c r="M25" i="15" s="1"/>
  <c r="E63" i="13"/>
  <c r="I63" i="13" s="1"/>
  <c r="M63" i="13" s="1"/>
  <c r="E23" i="16"/>
  <c r="I23" i="16" s="1"/>
  <c r="M23" i="16" s="1"/>
  <c r="E23" i="15"/>
  <c r="I23" i="15" s="1"/>
  <c r="M23" i="15" s="1"/>
  <c r="E89" i="13"/>
  <c r="I89" i="13" s="1"/>
  <c r="M89" i="13" s="1"/>
  <c r="E53" i="16"/>
  <c r="E53" i="15"/>
  <c r="I53" i="15" s="1"/>
  <c r="M53" i="15" s="1"/>
  <c r="E88" i="13"/>
  <c r="I88" i="13" s="1"/>
  <c r="M88" i="13" s="1"/>
  <c r="E52" i="16"/>
  <c r="I52" i="16" s="1"/>
  <c r="M52" i="16" s="1"/>
  <c r="E52" i="15"/>
  <c r="E87" i="13"/>
  <c r="I87" i="13" s="1"/>
  <c r="M87" i="13" s="1"/>
  <c r="E51" i="16"/>
  <c r="I51" i="16" s="1"/>
  <c r="M51" i="16" s="1"/>
  <c r="E51" i="15"/>
  <c r="E86" i="13"/>
  <c r="I86" i="13" s="1"/>
  <c r="M86" i="13" s="1"/>
  <c r="E50" i="16"/>
  <c r="I50" i="16" s="1"/>
  <c r="M50" i="16" s="1"/>
  <c r="E50" i="15"/>
  <c r="I50" i="15" s="1"/>
  <c r="M50" i="15" s="1"/>
  <c r="E85" i="13"/>
  <c r="I85" i="13" s="1"/>
  <c r="M85" i="13" s="1"/>
  <c r="E49" i="16"/>
  <c r="E49" i="15"/>
  <c r="E84" i="13"/>
  <c r="I84" i="13" s="1"/>
  <c r="M84" i="13" s="1"/>
  <c r="E48" i="16"/>
  <c r="I48" i="16" s="1"/>
  <c r="M48" i="16" s="1"/>
  <c r="E48" i="15"/>
  <c r="I48" i="15" s="1"/>
  <c r="M48" i="15" s="1"/>
  <c r="E83" i="13"/>
  <c r="I83" i="13" s="1"/>
  <c r="M83" i="13" s="1"/>
  <c r="E47" i="16"/>
  <c r="E47" i="15"/>
  <c r="F67" i="13"/>
  <c r="J67" i="13" s="1"/>
  <c r="N67" i="13" s="1"/>
  <c r="F27" i="16"/>
  <c r="F27" i="15"/>
  <c r="F65" i="13"/>
  <c r="J65" i="13" s="1"/>
  <c r="N65" i="13" s="1"/>
  <c r="F25" i="16"/>
  <c r="J25" i="16" s="1"/>
  <c r="N25" i="16" s="1"/>
  <c r="F25" i="15"/>
  <c r="J25" i="15" s="1"/>
  <c r="N25" i="15" s="1"/>
  <c r="F23" i="15"/>
  <c r="J23" i="15" s="1"/>
  <c r="N23" i="15" s="1"/>
  <c r="F23" i="16"/>
  <c r="J23" i="16" s="1"/>
  <c r="N23" i="16" s="1"/>
  <c r="F63" i="13"/>
  <c r="J63" i="13" s="1"/>
  <c r="N63" i="13" s="1"/>
  <c r="F52" i="15"/>
  <c r="F52" i="16"/>
  <c r="J52" i="16" s="1"/>
  <c r="N52" i="16" s="1"/>
  <c r="N56" i="16" s="1"/>
  <c r="F88" i="13"/>
  <c r="J88" i="13" s="1"/>
  <c r="N88" i="13" s="1"/>
  <c r="F86" i="13"/>
  <c r="J86" i="13" s="1"/>
  <c r="N86" i="13" s="1"/>
  <c r="F50" i="16"/>
  <c r="J50" i="16" s="1"/>
  <c r="N50" i="16" s="1"/>
  <c r="F50" i="15"/>
  <c r="F84" i="13"/>
  <c r="J84" i="13" s="1"/>
  <c r="N84" i="13" s="1"/>
  <c r="F48" i="16"/>
  <c r="F48" i="15"/>
  <c r="J48" i="15" s="1"/>
  <c r="N48" i="15" s="1"/>
  <c r="G27" i="15"/>
  <c r="G27" i="16"/>
  <c r="G67" i="13"/>
  <c r="K67" i="13" s="1"/>
  <c r="O67" i="13" s="1"/>
  <c r="G25" i="15"/>
  <c r="G25" i="16"/>
  <c r="G65" i="13"/>
  <c r="K65" i="13" s="1"/>
  <c r="O65" i="13" s="1"/>
  <c r="G23" i="15"/>
  <c r="K23" i="15" s="1"/>
  <c r="O23" i="15" s="1"/>
  <c r="G23" i="16"/>
  <c r="K23" i="16" s="1"/>
  <c r="O23" i="16" s="1"/>
  <c r="G63" i="13"/>
  <c r="K63" i="13" s="1"/>
  <c r="O63" i="13" s="1"/>
  <c r="G88" i="13"/>
  <c r="K88" i="13" s="1"/>
  <c r="O88" i="13" s="1"/>
  <c r="G52" i="16"/>
  <c r="G52" i="15"/>
  <c r="G50" i="15"/>
  <c r="K50" i="15" s="1"/>
  <c r="O50" i="15" s="1"/>
  <c r="G50" i="16"/>
  <c r="K50" i="16" s="1"/>
  <c r="O50" i="16" s="1"/>
  <c r="G86" i="13"/>
  <c r="K86" i="13" s="1"/>
  <c r="O86" i="13" s="1"/>
  <c r="G48" i="15"/>
  <c r="K48" i="15" s="1"/>
  <c r="O48" i="15" s="1"/>
  <c r="G48" i="16"/>
  <c r="K48" i="16" s="1"/>
  <c r="O48" i="16" s="1"/>
  <c r="G84" i="13"/>
  <c r="AA14" i="1"/>
  <c r="O32" i="14" s="1"/>
  <c r="AA13" i="1"/>
  <c r="O31" i="14" s="1"/>
  <c r="AA12" i="1"/>
  <c r="O30" i="14" s="1"/>
  <c r="AA10" i="1"/>
  <c r="O28" i="14" s="1"/>
  <c r="AA9" i="1"/>
  <c r="O27" i="14" s="1"/>
  <c r="AA8" i="1"/>
  <c r="O26" i="14" s="1"/>
  <c r="AA6" i="1"/>
  <c r="O24" i="14" s="1"/>
  <c r="AI14" i="1"/>
  <c r="AI13" i="1"/>
  <c r="AI12" i="1"/>
  <c r="AI10" i="1"/>
  <c r="AI8" i="1"/>
  <c r="AI6" i="1"/>
  <c r="AM14" i="1"/>
  <c r="AM12" i="1"/>
  <c r="AM10" i="1"/>
  <c r="AM8" i="1"/>
  <c r="AM6" i="1"/>
  <c r="X15" i="1"/>
  <c r="AB24" i="1"/>
  <c r="AM22" i="1"/>
  <c r="AM20" i="1"/>
  <c r="AM18" i="1"/>
  <c r="AI23" i="1"/>
  <c r="AE20" i="1"/>
  <c r="K17" i="1"/>
  <c r="F35" i="14" s="1"/>
  <c r="K21" i="1"/>
  <c r="F39" i="14" s="1"/>
  <c r="K13" i="1"/>
  <c r="F31" i="14" s="1"/>
  <c r="K11" i="1"/>
  <c r="F29" i="14" s="1"/>
  <c r="K9" i="1"/>
  <c r="F27" i="14" s="1"/>
  <c r="K7" i="1"/>
  <c r="F25" i="14" s="1"/>
  <c r="K5" i="1"/>
  <c r="F23" i="14" s="1"/>
  <c r="AE14" i="1"/>
  <c r="AE13" i="1"/>
  <c r="AE12" i="1"/>
  <c r="AE11" i="1"/>
  <c r="AE10" i="1"/>
  <c r="AE9" i="1"/>
  <c r="AE8" i="1"/>
  <c r="AE7" i="1"/>
  <c r="AE6" i="1"/>
  <c r="AM13" i="1"/>
  <c r="AM11" i="1"/>
  <c r="AM9" i="1"/>
  <c r="AM7" i="1"/>
  <c r="AA11" i="1"/>
  <c r="O29" i="14" s="1"/>
  <c r="AA7" i="1"/>
  <c r="O25" i="14" s="1"/>
  <c r="AI9" i="1"/>
  <c r="AF15" i="1"/>
  <c r="K22" i="1"/>
  <c r="F40" i="14" s="1"/>
  <c r="K20" i="1"/>
  <c r="F38" i="14" s="1"/>
  <c r="K18" i="1"/>
  <c r="F36" i="14" s="1"/>
  <c r="AA23" i="1"/>
  <c r="O41" i="14" s="1"/>
  <c r="AA22" i="1"/>
  <c r="O40" i="14" s="1"/>
  <c r="AA21" i="1"/>
  <c r="O39" i="14" s="1"/>
  <c r="AA20" i="1"/>
  <c r="O38" i="14" s="1"/>
  <c r="AA19" i="1"/>
  <c r="O37" i="14" s="1"/>
  <c r="AA18" i="1"/>
  <c r="O36" i="14" s="1"/>
  <c r="AI21" i="1"/>
  <c r="AI19" i="1"/>
  <c r="AM23" i="1"/>
  <c r="AM21" i="1"/>
  <c r="AM19" i="1"/>
  <c r="AE18" i="1"/>
  <c r="AE22" i="1"/>
  <c r="K19" i="1"/>
  <c r="F37" i="14" s="1"/>
  <c r="K23" i="1"/>
  <c r="F41" i="14" s="1"/>
  <c r="K26" i="1"/>
  <c r="T26" i="1"/>
  <c r="AB26" i="1"/>
  <c r="AJ26" i="1"/>
  <c r="AM5" i="1"/>
  <c r="I15" i="1"/>
  <c r="D33" i="14" s="1"/>
  <c r="I26" i="1"/>
  <c r="M26" i="1"/>
  <c r="Q26" i="1"/>
  <c r="U26" i="1"/>
  <c r="Y15" i="1"/>
  <c r="Y26" i="1"/>
  <c r="AC15" i="1"/>
  <c r="AC26" i="1"/>
  <c r="AG15" i="1"/>
  <c r="AG26" i="1"/>
  <c r="AK15" i="1"/>
  <c r="AK26" i="1"/>
  <c r="J26" i="1"/>
  <c r="J15" i="1"/>
  <c r="N26" i="1"/>
  <c r="R26" i="1"/>
  <c r="AE5" i="1"/>
  <c r="H15" i="1"/>
  <c r="X24" i="1"/>
  <c r="AA17" i="1"/>
  <c r="O35" i="14" s="1"/>
  <c r="AF24" i="1"/>
  <c r="AJ24" i="1"/>
  <c r="AM17" i="1"/>
  <c r="Y24" i="1"/>
  <c r="AC24" i="1"/>
  <c r="AG24" i="1"/>
  <c r="AK24" i="1"/>
  <c r="J24" i="1"/>
  <c r="AD24" i="1"/>
  <c r="AL24" i="1"/>
  <c r="AI17" i="1"/>
  <c r="P26" i="1"/>
  <c r="X26" i="1"/>
  <c r="AI11" i="1"/>
  <c r="AI7" i="1"/>
  <c r="AF26" i="1"/>
  <c r="AA5" i="1"/>
  <c r="O23" i="14" s="1"/>
  <c r="AI5" i="1"/>
  <c r="AJ15" i="1"/>
  <c r="AB15" i="1"/>
  <c r="V26" i="1"/>
  <c r="Z26" i="1"/>
  <c r="AD26" i="1"/>
  <c r="AH26" i="1"/>
  <c r="AL26" i="1"/>
  <c r="AL15" i="1"/>
  <c r="AH15" i="1"/>
  <c r="AD15" i="1"/>
  <c r="Z15" i="1"/>
  <c r="H24" i="1"/>
  <c r="AE23" i="1"/>
  <c r="AE21" i="1"/>
  <c r="AE19" i="1"/>
  <c r="AI22" i="1"/>
  <c r="AI20" i="1"/>
  <c r="AI18" i="1"/>
  <c r="I24" i="1"/>
  <c r="Z24" i="1"/>
  <c r="AH24" i="1"/>
  <c r="AE17" i="1"/>
  <c r="B300" i="1"/>
  <c r="B325" i="1" s="1"/>
  <c r="S299" i="1"/>
  <c r="R299" i="1"/>
  <c r="Q299" i="1"/>
  <c r="P299" i="1"/>
  <c r="O299" i="1"/>
  <c r="N298" i="1"/>
  <c r="B290" i="1"/>
  <c r="B315" i="1" s="1"/>
  <c r="S289" i="1"/>
  <c r="R289" i="1"/>
  <c r="Q289" i="1"/>
  <c r="P289" i="1"/>
  <c r="O289" i="1"/>
  <c r="N288" i="1"/>
  <c r="C283" i="1"/>
  <c r="S274" i="1"/>
  <c r="R274" i="1"/>
  <c r="Q274" i="1"/>
  <c r="P274" i="1"/>
  <c r="O274" i="1"/>
  <c r="C274" i="1"/>
  <c r="C299" i="1" s="1"/>
  <c r="C324" i="1" s="1"/>
  <c r="N273" i="1"/>
  <c r="C273" i="1"/>
  <c r="C298" i="1" s="1"/>
  <c r="C323" i="1" s="1"/>
  <c r="C272" i="1"/>
  <c r="N272" i="1" s="1"/>
  <c r="C271" i="1"/>
  <c r="N270" i="1"/>
  <c r="C270" i="1"/>
  <c r="C295" i="1" s="1"/>
  <c r="C269" i="1"/>
  <c r="C268" i="1"/>
  <c r="C267" i="1"/>
  <c r="S264" i="1"/>
  <c r="R264" i="1"/>
  <c r="Q264" i="1"/>
  <c r="P264" i="1"/>
  <c r="O264" i="1"/>
  <c r="C264" i="1"/>
  <c r="C289" i="1" s="1"/>
  <c r="C314" i="1" s="1"/>
  <c r="N263" i="1"/>
  <c r="C263" i="1"/>
  <c r="C288" i="1" s="1"/>
  <c r="C313" i="1" s="1"/>
  <c r="B263" i="1"/>
  <c r="B288" i="1" s="1"/>
  <c r="B313" i="1" s="1"/>
  <c r="C262" i="1"/>
  <c r="N262" i="1" s="1"/>
  <c r="N261" i="1"/>
  <c r="C261" i="1"/>
  <c r="C286" i="1" s="1"/>
  <c r="C311" i="1" s="1"/>
  <c r="B261" i="1"/>
  <c r="B286" i="1" s="1"/>
  <c r="B311" i="1" s="1"/>
  <c r="C260" i="1"/>
  <c r="N259" i="1"/>
  <c r="C259" i="1"/>
  <c r="C284" i="1" s="1"/>
  <c r="C309" i="1" s="1"/>
  <c r="B259" i="1"/>
  <c r="B284" i="1" s="1"/>
  <c r="B309" i="1" s="1"/>
  <c r="C258" i="1"/>
  <c r="N258" i="1" s="1"/>
  <c r="N257" i="1"/>
  <c r="C257" i="1"/>
  <c r="C282" i="1" s="1"/>
  <c r="C307" i="1" s="1"/>
  <c r="B257" i="1"/>
  <c r="B282" i="1" s="1"/>
  <c r="B307" i="1" s="1"/>
  <c r="C256" i="1"/>
  <c r="N255" i="1"/>
  <c r="C255" i="1"/>
  <c r="C280" i="1" s="1"/>
  <c r="C305" i="1" s="1"/>
  <c r="B255" i="1"/>
  <c r="B280" i="1" s="1"/>
  <c r="B305" i="1" s="1"/>
  <c r="C254" i="1"/>
  <c r="N254" i="1" s="1"/>
  <c r="D252" i="1"/>
  <c r="D277" i="1" s="1"/>
  <c r="D302" i="1" s="1"/>
  <c r="S249" i="1"/>
  <c r="R249" i="1"/>
  <c r="Q249" i="1"/>
  <c r="P249" i="1"/>
  <c r="O249" i="1"/>
  <c r="N248" i="1"/>
  <c r="N247" i="1"/>
  <c r="B247" i="1"/>
  <c r="B272" i="1" s="1"/>
  <c r="B297" i="1" s="1"/>
  <c r="B322" i="1" s="1"/>
  <c r="N246" i="1"/>
  <c r="N245" i="1"/>
  <c r="N244" i="1"/>
  <c r="N243" i="1"/>
  <c r="B243" i="1"/>
  <c r="B268" i="1" s="1"/>
  <c r="B293" i="1" s="1"/>
  <c r="B318" i="1" s="1"/>
  <c r="N242" i="1"/>
  <c r="S239" i="1"/>
  <c r="R239" i="1"/>
  <c r="Q239" i="1"/>
  <c r="P239" i="1"/>
  <c r="O239" i="1"/>
  <c r="N238" i="1"/>
  <c r="N237" i="1"/>
  <c r="N236" i="1"/>
  <c r="N235" i="1"/>
  <c r="N234" i="1"/>
  <c r="N233" i="1"/>
  <c r="N232" i="1"/>
  <c r="N231" i="1"/>
  <c r="N230" i="1"/>
  <c r="N229" i="1"/>
  <c r="N239" i="1" s="1"/>
  <c r="E227" i="1"/>
  <c r="F227" i="1" s="1"/>
  <c r="F252" i="1" s="1"/>
  <c r="F277" i="1" s="1"/>
  <c r="F302" i="1" s="1"/>
  <c r="B221" i="1"/>
  <c r="B248" i="1" s="1"/>
  <c r="B273" i="1" s="1"/>
  <c r="B298" i="1" s="1"/>
  <c r="B323" i="1" s="1"/>
  <c r="B220" i="1"/>
  <c r="B219" i="1"/>
  <c r="B246" i="1" s="1"/>
  <c r="B271" i="1" s="1"/>
  <c r="B296" i="1" s="1"/>
  <c r="B321" i="1" s="1"/>
  <c r="B218" i="1"/>
  <c r="B245" i="1" s="1"/>
  <c r="B270" i="1" s="1"/>
  <c r="B295" i="1" s="1"/>
  <c r="B320" i="1" s="1"/>
  <c r="B217" i="1"/>
  <c r="B244" i="1" s="1"/>
  <c r="B269" i="1" s="1"/>
  <c r="B294" i="1" s="1"/>
  <c r="B319" i="1" s="1"/>
  <c r="B216" i="1"/>
  <c r="B215" i="1"/>
  <c r="B242" i="1" s="1"/>
  <c r="B267" i="1" s="1"/>
  <c r="B292" i="1" s="1"/>
  <c r="B317" i="1" s="1"/>
  <c r="B213" i="1"/>
  <c r="B239" i="1" s="1"/>
  <c r="B264" i="1" s="1"/>
  <c r="B289" i="1" s="1"/>
  <c r="B314" i="1" s="1"/>
  <c r="B212" i="1"/>
  <c r="B238" i="1" s="1"/>
  <c r="B211" i="1"/>
  <c r="B237" i="1" s="1"/>
  <c r="B262" i="1" s="1"/>
  <c r="B287" i="1" s="1"/>
  <c r="B312" i="1" s="1"/>
  <c r="B210" i="1"/>
  <c r="B236" i="1" s="1"/>
  <c r="B209" i="1"/>
  <c r="B235" i="1" s="1"/>
  <c r="B260" i="1" s="1"/>
  <c r="B285" i="1" s="1"/>
  <c r="B310" i="1" s="1"/>
  <c r="B208" i="1"/>
  <c r="B234" i="1" s="1"/>
  <c r="B207" i="1"/>
  <c r="B233" i="1" s="1"/>
  <c r="B258" i="1" s="1"/>
  <c r="B283" i="1" s="1"/>
  <c r="B308" i="1" s="1"/>
  <c r="B206" i="1"/>
  <c r="B232" i="1" s="1"/>
  <c r="B205" i="1"/>
  <c r="B231" i="1" s="1"/>
  <c r="B256" i="1" s="1"/>
  <c r="B281" i="1" s="1"/>
  <c r="B306" i="1" s="1"/>
  <c r="B204" i="1"/>
  <c r="B230" i="1" s="1"/>
  <c r="B203" i="1"/>
  <c r="B229" i="1" s="1"/>
  <c r="B254" i="1" s="1"/>
  <c r="B279" i="1" s="1"/>
  <c r="B304" i="1" s="1"/>
  <c r="G196" i="1"/>
  <c r="G201" i="1" s="1"/>
  <c r="D303" i="1" s="1"/>
  <c r="F196" i="1"/>
  <c r="F201" i="1" s="1"/>
  <c r="D278" i="1" s="1"/>
  <c r="E196" i="1"/>
  <c r="E201" i="1" s="1"/>
  <c r="D253" i="1" s="1"/>
  <c r="D196" i="1"/>
  <c r="D201" i="1" s="1"/>
  <c r="D228" i="1" s="1"/>
  <c r="D195" i="1"/>
  <c r="D200" i="1" s="1"/>
  <c r="BO192" i="1"/>
  <c r="BK192" i="1"/>
  <c r="BG192" i="1"/>
  <c r="BC192" i="1"/>
  <c r="AY192" i="1"/>
  <c r="AU192" i="1"/>
  <c r="AQ192" i="1"/>
  <c r="AP192" i="1"/>
  <c r="AO192" i="1"/>
  <c r="AN192" i="1"/>
  <c r="AM192" i="1"/>
  <c r="AL192" i="1"/>
  <c r="AK192" i="1"/>
  <c r="AJ192" i="1"/>
  <c r="AI192" i="1"/>
  <c r="AH192" i="1"/>
  <c r="AG192" i="1"/>
  <c r="AF192" i="1"/>
  <c r="AE192" i="1"/>
  <c r="AD192" i="1"/>
  <c r="AC192" i="1"/>
  <c r="AB192" i="1"/>
  <c r="AA192" i="1"/>
  <c r="Z192" i="1"/>
  <c r="Y192" i="1"/>
  <c r="X192" i="1"/>
  <c r="W192" i="1"/>
  <c r="V192" i="1"/>
  <c r="U192" i="1"/>
  <c r="T192" i="1"/>
  <c r="S192" i="1"/>
  <c r="R192" i="1"/>
  <c r="Q192" i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M190" i="1"/>
  <c r="BI190" i="1"/>
  <c r="BE190" i="1"/>
  <c r="BA190" i="1"/>
  <c r="AW190" i="1"/>
  <c r="AS190" i="1"/>
  <c r="B190" i="1"/>
  <c r="B222" i="1" s="1"/>
  <c r="B249" i="1" s="1"/>
  <c r="B274" i="1" s="1"/>
  <c r="B299" i="1" s="1"/>
  <c r="B324" i="1" s="1"/>
  <c r="K169" i="1"/>
  <c r="J169" i="1"/>
  <c r="J196" i="1" s="1"/>
  <c r="J201" i="1" s="1"/>
  <c r="E278" i="1" s="1"/>
  <c r="I169" i="1"/>
  <c r="H169" i="1"/>
  <c r="H196" i="1" s="1"/>
  <c r="H201" i="1" s="1"/>
  <c r="E228" i="1" s="1"/>
  <c r="L168" i="1"/>
  <c r="H168" i="1"/>
  <c r="H195" i="1" s="1"/>
  <c r="H200" i="1" s="1"/>
  <c r="Q167" i="1"/>
  <c r="U167" i="1" s="1"/>
  <c r="Y167" i="1" s="1"/>
  <c r="AC167" i="1" s="1"/>
  <c r="AG167" i="1" s="1"/>
  <c r="AK167" i="1" s="1"/>
  <c r="AO167" i="1" s="1"/>
  <c r="AS167" i="1" s="1"/>
  <c r="AW167" i="1" s="1"/>
  <c r="BA167" i="1" s="1"/>
  <c r="BE167" i="1" s="1"/>
  <c r="BI167" i="1" s="1"/>
  <c r="BM167" i="1" s="1"/>
  <c r="I167" i="1"/>
  <c r="M167" i="1" s="1"/>
  <c r="H35" i="15" l="1"/>
  <c r="H35" i="16"/>
  <c r="L35" i="16" s="1"/>
  <c r="P35" i="16" s="1"/>
  <c r="H71" i="13"/>
  <c r="L71" i="13" s="1"/>
  <c r="P71" i="13" s="1"/>
  <c r="E42" i="14"/>
  <c r="M42" i="14"/>
  <c r="L42" i="14"/>
  <c r="C33" i="14"/>
  <c r="E33" i="14"/>
  <c r="H64" i="13"/>
  <c r="L64" i="13" s="1"/>
  <c r="P64" i="13" s="1"/>
  <c r="H24" i="16"/>
  <c r="H24" i="15"/>
  <c r="H25" i="15"/>
  <c r="H25" i="16"/>
  <c r="L25" i="16" s="1"/>
  <c r="P25" i="16" s="1"/>
  <c r="H65" i="13"/>
  <c r="L65" i="13" s="1"/>
  <c r="P65" i="13" s="1"/>
  <c r="H41" i="15"/>
  <c r="H41" i="16"/>
  <c r="L41" i="16" s="1"/>
  <c r="P41" i="16" s="1"/>
  <c r="H77" i="13"/>
  <c r="L77" i="13" s="1"/>
  <c r="P77" i="13" s="1"/>
  <c r="H12" i="15"/>
  <c r="L12" i="15" s="1"/>
  <c r="P12" i="15" s="1"/>
  <c r="H12" i="16"/>
  <c r="L12" i="16" s="1"/>
  <c r="P12" i="16" s="1"/>
  <c r="H52" i="13"/>
  <c r="H16" i="15"/>
  <c r="L16" i="15" s="1"/>
  <c r="P16" i="15" s="1"/>
  <c r="H16" i="16"/>
  <c r="L16" i="16" s="1"/>
  <c r="P16" i="16" s="1"/>
  <c r="H56" i="13"/>
  <c r="H22" i="15"/>
  <c r="H22" i="16"/>
  <c r="L22" i="16" s="1"/>
  <c r="P22" i="16" s="1"/>
  <c r="H62" i="13"/>
  <c r="L62" i="13" s="1"/>
  <c r="P62" i="13" s="1"/>
  <c r="H38" i="15"/>
  <c r="H38" i="16"/>
  <c r="L38" i="16" s="1"/>
  <c r="P38" i="16" s="1"/>
  <c r="H74" i="13"/>
  <c r="L74" i="13" s="1"/>
  <c r="P74" i="13" s="1"/>
  <c r="H40" i="15"/>
  <c r="L40" i="15" s="1"/>
  <c r="P40" i="15" s="1"/>
  <c r="H40" i="16"/>
  <c r="L40" i="16" s="1"/>
  <c r="P40" i="16" s="1"/>
  <c r="H76" i="13"/>
  <c r="L76" i="13" s="1"/>
  <c r="P76" i="13" s="1"/>
  <c r="H43" i="15"/>
  <c r="H43" i="16"/>
  <c r="H79" i="13"/>
  <c r="L79" i="13" s="1"/>
  <c r="P79" i="13" s="1"/>
  <c r="K52" i="16"/>
  <c r="O52" i="16" s="1"/>
  <c r="O56" i="16" s="1"/>
  <c r="K25" i="16"/>
  <c r="O25" i="16" s="1"/>
  <c r="O32" i="16" s="1"/>
  <c r="K27" i="15"/>
  <c r="K31" i="15" s="1"/>
  <c r="G31" i="15"/>
  <c r="Z136" i="15" s="1"/>
  <c r="J48" i="16"/>
  <c r="N48" i="16" s="1"/>
  <c r="J50" i="15"/>
  <c r="N50" i="15" s="1"/>
  <c r="J27" i="15"/>
  <c r="J31" i="15" s="1"/>
  <c r="F31" i="15"/>
  <c r="W131" i="15" s="1"/>
  <c r="N27" i="15"/>
  <c r="N31" i="15" s="1"/>
  <c r="I47" i="16"/>
  <c r="M47" i="16" s="1"/>
  <c r="M58" i="16" s="1"/>
  <c r="I49" i="16"/>
  <c r="M49" i="16" s="1"/>
  <c r="M57" i="16" s="1"/>
  <c r="I52" i="15"/>
  <c r="E56" i="15"/>
  <c r="T127" i="15" s="1"/>
  <c r="I53" i="16"/>
  <c r="M53" i="16" s="1"/>
  <c r="M56" i="16" s="1"/>
  <c r="I25" i="16"/>
  <c r="M25" i="16" s="1"/>
  <c r="M32" i="16" s="1"/>
  <c r="I27" i="15"/>
  <c r="I31" i="15" s="1"/>
  <c r="E31" i="15"/>
  <c r="T126" i="15" s="1"/>
  <c r="M27" i="15"/>
  <c r="M31" i="15" s="1"/>
  <c r="G57" i="16"/>
  <c r="AA137" i="16" s="1"/>
  <c r="K39" i="16"/>
  <c r="K43" i="16"/>
  <c r="G58" i="16"/>
  <c r="AB137" i="16" s="1"/>
  <c r="K50" i="13"/>
  <c r="O50" i="13" s="1"/>
  <c r="K14" i="15"/>
  <c r="O14" i="15" s="1"/>
  <c r="J37" i="15"/>
  <c r="N37" i="15" s="1"/>
  <c r="J39" i="16"/>
  <c r="F57" i="16"/>
  <c r="X132" i="16" s="1"/>
  <c r="N39" i="16"/>
  <c r="F58" i="16"/>
  <c r="Y132" i="16" s="1"/>
  <c r="J43" i="16"/>
  <c r="I52" i="13"/>
  <c r="M52" i="13"/>
  <c r="I14" i="16"/>
  <c r="I16" i="15"/>
  <c r="M16" i="15" s="1"/>
  <c r="I56" i="13"/>
  <c r="M56" i="13" s="1"/>
  <c r="I18" i="16"/>
  <c r="E53" i="13"/>
  <c r="E13" i="16"/>
  <c r="I13" i="16" s="1"/>
  <c r="M13" i="16" s="1"/>
  <c r="E13" i="15"/>
  <c r="I13" i="15" s="1"/>
  <c r="M13" i="15" s="1"/>
  <c r="E15" i="15"/>
  <c r="I15" i="15" s="1"/>
  <c r="M15" i="15" s="1"/>
  <c r="E15" i="16"/>
  <c r="I15" i="16" s="1"/>
  <c r="M15" i="16" s="1"/>
  <c r="E55" i="13"/>
  <c r="E19" i="15"/>
  <c r="E19" i="16"/>
  <c r="I19" i="16" s="1"/>
  <c r="M19" i="16" s="1"/>
  <c r="E59" i="13"/>
  <c r="I59" i="13" s="1"/>
  <c r="M59" i="13" s="1"/>
  <c r="K47" i="15"/>
  <c r="K58" i="15" s="1"/>
  <c r="G58" i="15"/>
  <c r="AB137" i="15" s="1"/>
  <c r="O47" i="15"/>
  <c r="O58" i="15" s="1"/>
  <c r="K49" i="16"/>
  <c r="O49" i="16" s="1"/>
  <c r="K22" i="15"/>
  <c r="K33" i="15" s="1"/>
  <c r="O22" i="15"/>
  <c r="O33" i="15" s="1"/>
  <c r="G33" i="15"/>
  <c r="AB136" i="15" s="1"/>
  <c r="J47" i="15"/>
  <c r="F58" i="15"/>
  <c r="Y132" i="15" s="1"/>
  <c r="N57" i="16"/>
  <c r="J22" i="15"/>
  <c r="J33" i="15" s="1"/>
  <c r="F33" i="15"/>
  <c r="Y131" i="15" s="1"/>
  <c r="N22" i="15"/>
  <c r="N33" i="15" s="1"/>
  <c r="J24" i="16"/>
  <c r="N24" i="16" s="1"/>
  <c r="N32" i="16" s="1"/>
  <c r="N28" i="16"/>
  <c r="J28" i="16"/>
  <c r="I22" i="15"/>
  <c r="E33" i="15"/>
  <c r="V126" i="15" s="1"/>
  <c r="K40" i="15"/>
  <c r="O40" i="15" s="1"/>
  <c r="K42" i="16"/>
  <c r="O42" i="16" s="1"/>
  <c r="G31" i="16"/>
  <c r="K11" i="16"/>
  <c r="K17" i="15"/>
  <c r="O17" i="15" s="1"/>
  <c r="J40" i="15"/>
  <c r="N40" i="15" s="1"/>
  <c r="J11" i="16"/>
  <c r="J31" i="16" s="1"/>
  <c r="F31" i="16"/>
  <c r="W131" i="16" s="1"/>
  <c r="N11" i="16"/>
  <c r="J17" i="15"/>
  <c r="N17" i="15" s="1"/>
  <c r="J19" i="16"/>
  <c r="N19" i="16" s="1"/>
  <c r="I71" i="13"/>
  <c r="M71" i="13"/>
  <c r="I36" i="16"/>
  <c r="I56" i="16" s="1"/>
  <c r="E56" i="16"/>
  <c r="T127" i="16" s="1"/>
  <c r="M36" i="16"/>
  <c r="I73" i="13"/>
  <c r="M73" i="13" s="1"/>
  <c r="I37" i="15"/>
  <c r="M37" i="15" s="1"/>
  <c r="I77" i="13"/>
  <c r="M77" i="13" s="1"/>
  <c r="I42" i="16"/>
  <c r="M42" i="16" s="1"/>
  <c r="I79" i="13"/>
  <c r="M79" i="13" s="1"/>
  <c r="I44" i="16"/>
  <c r="M44" i="16" s="1"/>
  <c r="E11" i="15"/>
  <c r="I11" i="15" s="1"/>
  <c r="M11" i="15" s="1"/>
  <c r="E11" i="16"/>
  <c r="E51" i="13"/>
  <c r="E17" i="15"/>
  <c r="E17" i="16"/>
  <c r="I17" i="16" s="1"/>
  <c r="M17" i="16" s="1"/>
  <c r="E57" i="13"/>
  <c r="N42" i="14"/>
  <c r="D42" i="14"/>
  <c r="C42" i="14"/>
  <c r="N33" i="14"/>
  <c r="H47" i="15"/>
  <c r="H47" i="16"/>
  <c r="H83" i="13"/>
  <c r="L83" i="13" s="1"/>
  <c r="P83" i="13" s="1"/>
  <c r="M33" i="14"/>
  <c r="F60" i="13"/>
  <c r="F20" i="16"/>
  <c r="J20" i="16" s="1"/>
  <c r="N20" i="16" s="1"/>
  <c r="F20" i="15"/>
  <c r="J20" i="15" s="1"/>
  <c r="N20" i="15" s="1"/>
  <c r="H28" i="15"/>
  <c r="H28" i="16"/>
  <c r="H68" i="13"/>
  <c r="H48" i="15"/>
  <c r="H48" i="16"/>
  <c r="H84" i="13"/>
  <c r="L84" i="13" s="1"/>
  <c r="P84" i="13" s="1"/>
  <c r="H85" i="13"/>
  <c r="L85" i="13" s="1"/>
  <c r="P85" i="13" s="1"/>
  <c r="H49" i="16"/>
  <c r="H49" i="15"/>
  <c r="H50" i="15"/>
  <c r="H50" i="16"/>
  <c r="L50" i="16" s="1"/>
  <c r="P50" i="16" s="1"/>
  <c r="H86" i="13"/>
  <c r="L86" i="13" s="1"/>
  <c r="P86" i="13" s="1"/>
  <c r="H51" i="15"/>
  <c r="L51" i="15" s="1"/>
  <c r="P51" i="15" s="1"/>
  <c r="H51" i="16"/>
  <c r="L51" i="16" s="1"/>
  <c r="P51" i="16" s="1"/>
  <c r="H87" i="13"/>
  <c r="L87" i="13" s="1"/>
  <c r="P87" i="13" s="1"/>
  <c r="H52" i="15"/>
  <c r="H52" i="16"/>
  <c r="H88" i="13"/>
  <c r="L88" i="13" s="1"/>
  <c r="P88" i="13" s="1"/>
  <c r="H89" i="13"/>
  <c r="L89" i="13" s="1"/>
  <c r="P89" i="13" s="1"/>
  <c r="H53" i="16"/>
  <c r="L53" i="16" s="1"/>
  <c r="P53" i="16" s="1"/>
  <c r="H53" i="15"/>
  <c r="L53" i="15" s="1"/>
  <c r="P53" i="15" s="1"/>
  <c r="H23" i="15"/>
  <c r="L23" i="15" s="1"/>
  <c r="P23" i="15" s="1"/>
  <c r="H23" i="16"/>
  <c r="L23" i="16" s="1"/>
  <c r="P23" i="16" s="1"/>
  <c r="H63" i="13"/>
  <c r="L63" i="13" s="1"/>
  <c r="P63" i="13" s="1"/>
  <c r="H27" i="15"/>
  <c r="H27" i="16"/>
  <c r="L27" i="16" s="1"/>
  <c r="P27" i="16" s="1"/>
  <c r="H67" i="13"/>
  <c r="L67" i="13" s="1"/>
  <c r="P67" i="13" s="1"/>
  <c r="H37" i="15"/>
  <c r="L37" i="15" s="1"/>
  <c r="P37" i="15" s="1"/>
  <c r="H37" i="16"/>
  <c r="H73" i="13"/>
  <c r="L73" i="13" s="1"/>
  <c r="P73" i="13" s="1"/>
  <c r="H10" i="15"/>
  <c r="L10" i="15" s="1"/>
  <c r="P10" i="15" s="1"/>
  <c r="H10" i="16"/>
  <c r="L10" i="16" s="1"/>
  <c r="P10" i="16" s="1"/>
  <c r="H50" i="13"/>
  <c r="L50" i="13" s="1"/>
  <c r="P50" i="13" s="1"/>
  <c r="H14" i="15"/>
  <c r="L14" i="15" s="1"/>
  <c r="P14" i="15" s="1"/>
  <c r="H14" i="16"/>
  <c r="H54" i="13"/>
  <c r="H18" i="15"/>
  <c r="L18" i="15" s="1"/>
  <c r="P18" i="15" s="1"/>
  <c r="H18" i="16"/>
  <c r="H58" i="13"/>
  <c r="H26" i="15"/>
  <c r="L26" i="15" s="1"/>
  <c r="P26" i="15" s="1"/>
  <c r="H26" i="16"/>
  <c r="H66" i="13"/>
  <c r="L66" i="13" s="1"/>
  <c r="P66" i="13" s="1"/>
  <c r="L33" i="14"/>
  <c r="H36" i="15"/>
  <c r="L36" i="15" s="1"/>
  <c r="P36" i="15" s="1"/>
  <c r="H36" i="16"/>
  <c r="H72" i="13"/>
  <c r="L72" i="13" s="1"/>
  <c r="P72" i="13" s="1"/>
  <c r="H39" i="15"/>
  <c r="L39" i="15" s="1"/>
  <c r="P39" i="15" s="1"/>
  <c r="H39" i="16"/>
  <c r="H75" i="13"/>
  <c r="L75" i="13" s="1"/>
  <c r="P75" i="13" s="1"/>
  <c r="H42" i="15"/>
  <c r="L42" i="15" s="1"/>
  <c r="P42" i="15" s="1"/>
  <c r="H42" i="16"/>
  <c r="L42" i="16" s="1"/>
  <c r="P42" i="16" s="1"/>
  <c r="H78" i="13"/>
  <c r="H44" i="15"/>
  <c r="L44" i="15" s="1"/>
  <c r="P44" i="15" s="1"/>
  <c r="H44" i="16"/>
  <c r="L44" i="16" s="1"/>
  <c r="P44" i="16" s="1"/>
  <c r="H80" i="13"/>
  <c r="K84" i="13"/>
  <c r="O84" i="13" s="1"/>
  <c r="K52" i="15"/>
  <c r="K56" i="15" s="1"/>
  <c r="G56" i="15"/>
  <c r="Z137" i="15" s="1"/>
  <c r="O52" i="15"/>
  <c r="O56" i="15" s="1"/>
  <c r="K25" i="15"/>
  <c r="O25" i="15" s="1"/>
  <c r="Z136" i="16"/>
  <c r="K27" i="16"/>
  <c r="O27" i="16" s="1"/>
  <c r="O31" i="16" s="1"/>
  <c r="J52" i="15"/>
  <c r="J56" i="15" s="1"/>
  <c r="F56" i="15"/>
  <c r="W132" i="15" s="1"/>
  <c r="J27" i="16"/>
  <c r="N27" i="16" s="1"/>
  <c r="N31" i="16" s="1"/>
  <c r="I47" i="15"/>
  <c r="I58" i="15" s="1"/>
  <c r="E58" i="15"/>
  <c r="V127" i="15" s="1"/>
  <c r="I49" i="15"/>
  <c r="E57" i="15"/>
  <c r="U127" i="15" s="1"/>
  <c r="M49" i="15"/>
  <c r="I51" i="15"/>
  <c r="M51" i="15" s="1"/>
  <c r="I27" i="16"/>
  <c r="M27" i="16"/>
  <c r="M31" i="16" s="1"/>
  <c r="K35" i="15"/>
  <c r="O35" i="15" s="1"/>
  <c r="K43" i="15"/>
  <c r="O43" i="15" s="1"/>
  <c r="K12" i="15"/>
  <c r="O12" i="15"/>
  <c r="K14" i="16"/>
  <c r="K32" i="16" s="1"/>
  <c r="G32" i="16"/>
  <c r="AA136" i="16" s="1"/>
  <c r="O14" i="16"/>
  <c r="K56" i="13"/>
  <c r="O56" i="13" s="1"/>
  <c r="K18" i="16"/>
  <c r="G33" i="16"/>
  <c r="AB136" i="16" s="1"/>
  <c r="J35" i="15"/>
  <c r="N35" i="15" s="1"/>
  <c r="J37" i="16"/>
  <c r="N37" i="16" s="1"/>
  <c r="J41" i="16"/>
  <c r="J57" i="16" s="1"/>
  <c r="J43" i="15"/>
  <c r="N43" i="15" s="1"/>
  <c r="J12" i="15"/>
  <c r="N12" i="15" s="1"/>
  <c r="J14" i="16"/>
  <c r="F32" i="16"/>
  <c r="X131" i="16" s="1"/>
  <c r="J16" i="15"/>
  <c r="N16" i="15" s="1"/>
  <c r="J18" i="16"/>
  <c r="F33" i="16"/>
  <c r="Y131" i="16" s="1"/>
  <c r="I50" i="13"/>
  <c r="M50" i="13" s="1"/>
  <c r="I14" i="15"/>
  <c r="M14" i="15" s="1"/>
  <c r="I54" i="13"/>
  <c r="M54" i="13" s="1"/>
  <c r="I16" i="16"/>
  <c r="M16" i="16" s="1"/>
  <c r="I58" i="13"/>
  <c r="M58" i="13" s="1"/>
  <c r="H13" i="15"/>
  <c r="L13" i="15" s="1"/>
  <c r="P13" i="15" s="1"/>
  <c r="H13" i="16"/>
  <c r="L13" i="16" s="1"/>
  <c r="P13" i="16" s="1"/>
  <c r="H53" i="13"/>
  <c r="H15" i="15"/>
  <c r="H15" i="16"/>
  <c r="L15" i="16" s="1"/>
  <c r="P15" i="16" s="1"/>
  <c r="H55" i="13"/>
  <c r="H59" i="13"/>
  <c r="H19" i="16"/>
  <c r="L19" i="16" s="1"/>
  <c r="P19" i="16" s="1"/>
  <c r="H19" i="15"/>
  <c r="L19" i="15" s="1"/>
  <c r="P19" i="15" s="1"/>
  <c r="K47" i="16"/>
  <c r="O47" i="16" s="1"/>
  <c r="O58" i="16" s="1"/>
  <c r="K49" i="15"/>
  <c r="G57" i="15"/>
  <c r="AA137" i="15" s="1"/>
  <c r="K51" i="16"/>
  <c r="O51" i="16" s="1"/>
  <c r="K22" i="16"/>
  <c r="O22" i="16"/>
  <c r="O33" i="16" s="1"/>
  <c r="K24" i="15"/>
  <c r="G32" i="15"/>
  <c r="AA136" i="15" s="1"/>
  <c r="K68" i="13"/>
  <c r="O68" i="13"/>
  <c r="J47" i="16"/>
  <c r="N47" i="16" s="1"/>
  <c r="J49" i="15"/>
  <c r="J57" i="15" s="1"/>
  <c r="F57" i="15"/>
  <c r="X132" i="15" s="1"/>
  <c r="N49" i="15"/>
  <c r="J22" i="16"/>
  <c r="N22" i="16" s="1"/>
  <c r="N33" i="16" s="1"/>
  <c r="J24" i="15"/>
  <c r="J32" i="15" s="1"/>
  <c r="F32" i="15"/>
  <c r="X131" i="15" s="1"/>
  <c r="M33" i="16"/>
  <c r="I24" i="15"/>
  <c r="I32" i="15" s="1"/>
  <c r="E32" i="15"/>
  <c r="U126" i="15" s="1"/>
  <c r="K36" i="16"/>
  <c r="K56" i="16" s="1"/>
  <c r="G56" i="16"/>
  <c r="Z137" i="16" s="1"/>
  <c r="O36" i="16"/>
  <c r="K38" i="15"/>
  <c r="O38" i="15" s="1"/>
  <c r="K40" i="16"/>
  <c r="O40" i="16" s="1"/>
  <c r="K44" i="16"/>
  <c r="O44" i="16" s="1"/>
  <c r="K51" i="13"/>
  <c r="O51" i="13" s="1"/>
  <c r="K55" i="13"/>
  <c r="O55" i="13" s="1"/>
  <c r="K59" i="13"/>
  <c r="O59" i="13" s="1"/>
  <c r="J36" i="16"/>
  <c r="F56" i="16"/>
  <c r="W132" i="16" s="1"/>
  <c r="AD142" i="16" s="1"/>
  <c r="J11" i="15"/>
  <c r="N11" i="15" s="1"/>
  <c r="J55" i="13"/>
  <c r="N55" i="13" s="1"/>
  <c r="J19" i="15"/>
  <c r="N19" i="15" s="1"/>
  <c r="I39" i="16"/>
  <c r="E57" i="16"/>
  <c r="U127" i="16" s="1"/>
  <c r="I40" i="15"/>
  <c r="M40" i="15" s="1"/>
  <c r="I42" i="15"/>
  <c r="M42" i="15" s="1"/>
  <c r="I43" i="16"/>
  <c r="E58" i="16"/>
  <c r="V127" i="16" s="1"/>
  <c r="H51" i="13"/>
  <c r="H11" i="16"/>
  <c r="H11" i="15"/>
  <c r="L11" i="15" s="1"/>
  <c r="P11" i="15" s="1"/>
  <c r="H17" i="15"/>
  <c r="H17" i="16"/>
  <c r="H57" i="13"/>
  <c r="L57" i="13" s="1"/>
  <c r="P57" i="13" s="1"/>
  <c r="AA24" i="1"/>
  <c r="AM24" i="1"/>
  <c r="K15" i="1"/>
  <c r="F33" i="14" s="1"/>
  <c r="K24" i="1"/>
  <c r="AA15" i="1"/>
  <c r="AA26" i="1"/>
  <c r="W26" i="1"/>
  <c r="AM15" i="1"/>
  <c r="AM26" i="1"/>
  <c r="AE24" i="1"/>
  <c r="AI15" i="1"/>
  <c r="AI26" i="1"/>
  <c r="S26" i="1"/>
  <c r="AI24" i="1"/>
  <c r="AE15" i="1"/>
  <c r="AE26" i="1"/>
  <c r="O26" i="1"/>
  <c r="M169" i="1"/>
  <c r="I196" i="1"/>
  <c r="I201" i="1" s="1"/>
  <c r="E253" i="1" s="1"/>
  <c r="O169" i="1"/>
  <c r="K196" i="1"/>
  <c r="K201" i="1" s="1"/>
  <c r="E303" i="1" s="1"/>
  <c r="N169" i="1"/>
  <c r="N196" i="1" s="1"/>
  <c r="N201" i="1" s="1"/>
  <c r="F278" i="1" s="1"/>
  <c r="C293" i="1"/>
  <c r="N293" i="1" s="1"/>
  <c r="N268" i="1"/>
  <c r="N249" i="1"/>
  <c r="N280" i="1"/>
  <c r="N284" i="1"/>
  <c r="L195" i="1"/>
  <c r="L200" i="1" s="1"/>
  <c r="P168" i="1"/>
  <c r="Q169" i="1"/>
  <c r="M196" i="1"/>
  <c r="M201" i="1" s="1"/>
  <c r="F253" i="1" s="1"/>
  <c r="S169" i="1"/>
  <c r="O196" i="1"/>
  <c r="O201" i="1" s="1"/>
  <c r="F303" i="1" s="1"/>
  <c r="R169" i="1"/>
  <c r="L169" i="1"/>
  <c r="C308" i="1"/>
  <c r="N283" i="1"/>
  <c r="C318" i="1"/>
  <c r="G227" i="1"/>
  <c r="E252" i="1"/>
  <c r="E277" i="1" s="1"/>
  <c r="E302" i="1" s="1"/>
  <c r="C281" i="1"/>
  <c r="N256" i="1"/>
  <c r="C285" i="1"/>
  <c r="N260" i="1"/>
  <c r="C292" i="1"/>
  <c r="N267" i="1"/>
  <c r="C294" i="1"/>
  <c r="N269" i="1"/>
  <c r="N295" i="1"/>
  <c r="C320" i="1"/>
  <c r="C296" i="1"/>
  <c r="N271" i="1"/>
  <c r="C279" i="1"/>
  <c r="C287" i="1"/>
  <c r="C297" i="1"/>
  <c r="N282" i="1"/>
  <c r="N286" i="1"/>
  <c r="CU54" i="5"/>
  <c r="CT54" i="5"/>
  <c r="CS54" i="5"/>
  <c r="CU53" i="5"/>
  <c r="CT53" i="5"/>
  <c r="CS53" i="5"/>
  <c r="CU52" i="5"/>
  <c r="CT52" i="5"/>
  <c r="CS52" i="5"/>
  <c r="N58" i="16" l="1"/>
  <c r="I57" i="15"/>
  <c r="M47" i="15"/>
  <c r="M58" i="15" s="1"/>
  <c r="N57" i="15"/>
  <c r="AE142" i="16"/>
  <c r="BE137" i="16" s="1"/>
  <c r="O33" i="14"/>
  <c r="F42" i="14"/>
  <c r="L17" i="16"/>
  <c r="P17" i="16" s="1"/>
  <c r="L51" i="13"/>
  <c r="P51" i="13" s="1"/>
  <c r="M43" i="16"/>
  <c r="I58" i="16"/>
  <c r="M39" i="16"/>
  <c r="I57" i="16"/>
  <c r="N36" i="16"/>
  <c r="J56" i="16"/>
  <c r="BJ137" i="16"/>
  <c r="AE141" i="15"/>
  <c r="BF136" i="15"/>
  <c r="L59" i="13"/>
  <c r="P59" i="13" s="1"/>
  <c r="L53" i="13"/>
  <c r="P53" i="13" s="1"/>
  <c r="N18" i="16"/>
  <c r="J33" i="16"/>
  <c r="N14" i="16"/>
  <c r="J32" i="16"/>
  <c r="O18" i="16"/>
  <c r="K33" i="16"/>
  <c r="M57" i="15"/>
  <c r="AD142" i="15"/>
  <c r="BI132" i="15" s="1"/>
  <c r="BB132" i="15"/>
  <c r="AE141" i="16"/>
  <c r="BE136" i="16" s="1"/>
  <c r="AE142" i="15"/>
  <c r="BE137" i="15" s="1"/>
  <c r="L80" i="13"/>
  <c r="P80" i="13" s="1"/>
  <c r="L36" i="16"/>
  <c r="H56" i="16"/>
  <c r="L26" i="16"/>
  <c r="P26" i="16"/>
  <c r="L58" i="13"/>
  <c r="P58" i="13" s="1"/>
  <c r="L14" i="16"/>
  <c r="H32" i="16"/>
  <c r="L37" i="16"/>
  <c r="P37" i="16" s="1"/>
  <c r="L27" i="15"/>
  <c r="H31" i="15"/>
  <c r="L52" i="16"/>
  <c r="P52" i="16" s="1"/>
  <c r="P56" i="16" s="1"/>
  <c r="L49" i="15"/>
  <c r="H57" i="15"/>
  <c r="L48" i="16"/>
  <c r="P48" i="16" s="1"/>
  <c r="L28" i="16"/>
  <c r="P28" i="16" s="1"/>
  <c r="P31" i="16" s="1"/>
  <c r="F45" i="13"/>
  <c r="U140" i="13"/>
  <c r="J60" i="13"/>
  <c r="J45" i="13" s="1"/>
  <c r="N45" i="13" s="1"/>
  <c r="F81" i="13"/>
  <c r="F45" i="16"/>
  <c r="F45" i="15"/>
  <c r="L47" i="16"/>
  <c r="P47" i="16"/>
  <c r="G81" i="13"/>
  <c r="G45" i="16"/>
  <c r="K45" i="16" s="1"/>
  <c r="O45" i="16" s="1"/>
  <c r="G45" i="15"/>
  <c r="K45" i="15" s="1"/>
  <c r="O45" i="15" s="1"/>
  <c r="E69" i="13"/>
  <c r="I69" i="13" s="1"/>
  <c r="M69" i="13" s="1"/>
  <c r="E29" i="16"/>
  <c r="I29" i="16" s="1"/>
  <c r="M29" i="16" s="1"/>
  <c r="E29" i="15"/>
  <c r="F69" i="13"/>
  <c r="J69" i="13" s="1"/>
  <c r="N69" i="13" s="1"/>
  <c r="F29" i="16"/>
  <c r="J29" i="16" s="1"/>
  <c r="N29" i="16" s="1"/>
  <c r="F29" i="15"/>
  <c r="J29" i="15" s="1"/>
  <c r="N29" i="15" s="1"/>
  <c r="G54" i="16"/>
  <c r="K54" i="16" s="1"/>
  <c r="O54" i="16" s="1"/>
  <c r="G54" i="15"/>
  <c r="K54" i="15" s="1"/>
  <c r="O54" i="15" s="1"/>
  <c r="G90" i="13"/>
  <c r="K90" i="13" s="1"/>
  <c r="O90" i="13" s="1"/>
  <c r="I57" i="13"/>
  <c r="M57" i="13"/>
  <c r="I17" i="15"/>
  <c r="M17" i="15"/>
  <c r="I11" i="16"/>
  <c r="E31" i="16"/>
  <c r="T126" i="16" s="1"/>
  <c r="AD141" i="16"/>
  <c r="BB131" i="16"/>
  <c r="O11" i="16"/>
  <c r="K31" i="16"/>
  <c r="BD132" i="15"/>
  <c r="BG136" i="15"/>
  <c r="I19" i="15"/>
  <c r="M19" i="15"/>
  <c r="I53" i="13"/>
  <c r="M53" i="13"/>
  <c r="M18" i="16"/>
  <c r="I33" i="16"/>
  <c r="M14" i="16"/>
  <c r="I32" i="16"/>
  <c r="BD132" i="16"/>
  <c r="BC132" i="16"/>
  <c r="O39" i="16"/>
  <c r="K57" i="16"/>
  <c r="AC142" i="15"/>
  <c r="O27" i="15"/>
  <c r="O31" i="15" s="1"/>
  <c r="L43" i="15"/>
  <c r="P43" i="15" s="1"/>
  <c r="L38" i="15"/>
  <c r="P38" i="15" s="1"/>
  <c r="L22" i="15"/>
  <c r="L33" i="15" s="1"/>
  <c r="H33" i="15"/>
  <c r="AF126" i="15" s="1"/>
  <c r="P22" i="15"/>
  <c r="P33" i="15" s="1"/>
  <c r="L56" i="13"/>
  <c r="P56" i="13" s="1"/>
  <c r="L25" i="15"/>
  <c r="P25" i="15" s="1"/>
  <c r="L24" i="16"/>
  <c r="P24" i="16" s="1"/>
  <c r="P32" i="16" s="1"/>
  <c r="G69" i="13"/>
  <c r="K69" i="13" s="1"/>
  <c r="O69" i="13" s="1"/>
  <c r="G29" i="16"/>
  <c r="K29" i="16" s="1"/>
  <c r="O29" i="16" s="1"/>
  <c r="G29" i="15"/>
  <c r="K29" i="15" s="1"/>
  <c r="O29" i="15" s="1"/>
  <c r="L35" i="15"/>
  <c r="P35" i="15" s="1"/>
  <c r="H20" i="15"/>
  <c r="H20" i="16"/>
  <c r="L20" i="16" s="1"/>
  <c r="P20" i="16" s="1"/>
  <c r="H60" i="13"/>
  <c r="O42" i="14"/>
  <c r="L17" i="15"/>
  <c r="P17" i="15" s="1"/>
  <c r="L11" i="16"/>
  <c r="H31" i="16"/>
  <c r="BB132" i="16"/>
  <c r="BI132" i="16"/>
  <c r="M24" i="15"/>
  <c r="M32" i="15" s="1"/>
  <c r="N24" i="15"/>
  <c r="N32" i="15" s="1"/>
  <c r="O24" i="15"/>
  <c r="O32" i="15" s="1"/>
  <c r="K32" i="15"/>
  <c r="O49" i="15"/>
  <c r="O57" i="15" s="1"/>
  <c r="K57" i="15"/>
  <c r="L55" i="13"/>
  <c r="P55" i="13" s="1"/>
  <c r="L15" i="15"/>
  <c r="P15" i="15" s="1"/>
  <c r="BC131" i="16"/>
  <c r="N41" i="16"/>
  <c r="BG136" i="16"/>
  <c r="AZ127" i="15"/>
  <c r="N52" i="15"/>
  <c r="N56" i="15" s="1"/>
  <c r="L78" i="13"/>
  <c r="P78" i="13" s="1"/>
  <c r="L39" i="16"/>
  <c r="L57" i="16" s="1"/>
  <c r="H57" i="16"/>
  <c r="P39" i="16"/>
  <c r="E45" i="15"/>
  <c r="E45" i="16"/>
  <c r="I45" i="16" s="1"/>
  <c r="M45" i="16" s="1"/>
  <c r="E81" i="13"/>
  <c r="L18" i="16"/>
  <c r="H33" i="16"/>
  <c r="L54" i="13"/>
  <c r="P54" i="13"/>
  <c r="L52" i="15"/>
  <c r="H56" i="15"/>
  <c r="L50" i="15"/>
  <c r="P50" i="15" s="1"/>
  <c r="L49" i="16"/>
  <c r="P49" i="16" s="1"/>
  <c r="P57" i="16" s="1"/>
  <c r="L48" i="15"/>
  <c r="P48" i="15" s="1"/>
  <c r="L68" i="13"/>
  <c r="P68" i="13"/>
  <c r="L28" i="15"/>
  <c r="P28" i="15"/>
  <c r="L47" i="15"/>
  <c r="H58" i="15"/>
  <c r="AF127" i="15" s="1"/>
  <c r="I51" i="13"/>
  <c r="M51" i="13" s="1"/>
  <c r="AC142" i="16"/>
  <c r="BH127" i="16" s="1"/>
  <c r="M22" i="15"/>
  <c r="M33" i="15" s="1"/>
  <c r="I33" i="15"/>
  <c r="N47" i="15"/>
  <c r="N58" i="15" s="1"/>
  <c r="J58" i="15"/>
  <c r="O57" i="16"/>
  <c r="I55" i="13"/>
  <c r="M55" i="13" s="1"/>
  <c r="E33" i="16"/>
  <c r="V126" i="16" s="1"/>
  <c r="E32" i="16"/>
  <c r="U126" i="16" s="1"/>
  <c r="N43" i="16"/>
  <c r="J58" i="16"/>
  <c r="O43" i="16"/>
  <c r="K58" i="16"/>
  <c r="BF137" i="16"/>
  <c r="AC141" i="15"/>
  <c r="BA126" i="15" s="1"/>
  <c r="M52" i="15"/>
  <c r="M56" i="15" s="1"/>
  <c r="I56" i="15"/>
  <c r="AD141" i="15"/>
  <c r="BB131" i="15" s="1"/>
  <c r="L43" i="16"/>
  <c r="L58" i="16" s="1"/>
  <c r="H58" i="16"/>
  <c r="AF127" i="16" s="1"/>
  <c r="P43" i="16"/>
  <c r="P33" i="16"/>
  <c r="L52" i="13"/>
  <c r="P52" i="13" s="1"/>
  <c r="L41" i="15"/>
  <c r="P41" i="15" s="1"/>
  <c r="L24" i="15"/>
  <c r="H32" i="15"/>
  <c r="G20" i="15"/>
  <c r="K20" i="15" s="1"/>
  <c r="O20" i="15" s="1"/>
  <c r="G20" i="16"/>
  <c r="G60" i="13"/>
  <c r="E60" i="13"/>
  <c r="E20" i="16"/>
  <c r="I20" i="16" s="1"/>
  <c r="M20" i="16" s="1"/>
  <c r="E20" i="15"/>
  <c r="I20" i="15" s="1"/>
  <c r="M20" i="15" s="1"/>
  <c r="E90" i="13"/>
  <c r="I90" i="13" s="1"/>
  <c r="M90" i="13" s="1"/>
  <c r="E54" i="16"/>
  <c r="I54" i="16" s="1"/>
  <c r="M54" i="16" s="1"/>
  <c r="E54" i="15"/>
  <c r="F90" i="13"/>
  <c r="J90" i="13" s="1"/>
  <c r="N90" i="13" s="1"/>
  <c r="F54" i="16"/>
  <c r="F54" i="15"/>
  <c r="J54" i="15" s="1"/>
  <c r="N54" i="15" s="1"/>
  <c r="N264" i="1"/>
  <c r="N297" i="1"/>
  <c r="C322" i="1"/>
  <c r="C304" i="1"/>
  <c r="N279" i="1"/>
  <c r="N296" i="1"/>
  <c r="C321" i="1"/>
  <c r="C319" i="1"/>
  <c r="N294" i="1"/>
  <c r="N292" i="1"/>
  <c r="C317" i="1"/>
  <c r="C310" i="1"/>
  <c r="N285" i="1"/>
  <c r="C306" i="1"/>
  <c r="N281" i="1"/>
  <c r="L196" i="1"/>
  <c r="L201" i="1" s="1"/>
  <c r="F228" i="1" s="1"/>
  <c r="P169" i="1"/>
  <c r="P195" i="1"/>
  <c r="P200" i="1" s="1"/>
  <c r="T168" i="1"/>
  <c r="C312" i="1"/>
  <c r="N287" i="1"/>
  <c r="N274" i="1"/>
  <c r="H227" i="1"/>
  <c r="G252" i="1"/>
  <c r="G277" i="1" s="1"/>
  <c r="G302" i="1" s="1"/>
  <c r="R196" i="1"/>
  <c r="R201" i="1" s="1"/>
  <c r="G278" i="1" s="1"/>
  <c r="V169" i="1"/>
  <c r="W169" i="1"/>
  <c r="S196" i="1"/>
  <c r="S201" i="1" s="1"/>
  <c r="G303" i="1" s="1"/>
  <c r="U169" i="1"/>
  <c r="Q196" i="1"/>
  <c r="Q201" i="1" s="1"/>
  <c r="G253" i="1" s="1"/>
  <c r="BB54" i="5"/>
  <c r="BA54" i="5"/>
  <c r="AZ54" i="5"/>
  <c r="BB53" i="5"/>
  <c r="BA53" i="5"/>
  <c r="AZ53" i="5"/>
  <c r="BB52" i="5"/>
  <c r="BA52" i="5"/>
  <c r="AZ52" i="5"/>
  <c r="EN54" i="5"/>
  <c r="EM54" i="5"/>
  <c r="EL54" i="5"/>
  <c r="EN53" i="5"/>
  <c r="EM53" i="5"/>
  <c r="EL53" i="5"/>
  <c r="EN52" i="5"/>
  <c r="EM52" i="5"/>
  <c r="EL52" i="5"/>
  <c r="EN51" i="5"/>
  <c r="EM51" i="5"/>
  <c r="EL51" i="5"/>
  <c r="EN50" i="5"/>
  <c r="EM50" i="5"/>
  <c r="EL50" i="5"/>
  <c r="EN49" i="5"/>
  <c r="EM49" i="5"/>
  <c r="EL49" i="5"/>
  <c r="EP25" i="5"/>
  <c r="EO25" i="5"/>
  <c r="EN25" i="5"/>
  <c r="EM25" i="5"/>
  <c r="EL25" i="5"/>
  <c r="EK25" i="5"/>
  <c r="EJ25" i="5"/>
  <c r="EI25" i="5"/>
  <c r="EH25" i="5"/>
  <c r="EP24" i="5"/>
  <c r="EO24" i="5"/>
  <c r="EN24" i="5"/>
  <c r="EM24" i="5"/>
  <c r="EL24" i="5"/>
  <c r="EK24" i="5"/>
  <c r="EJ24" i="5"/>
  <c r="EI24" i="5"/>
  <c r="EH24" i="5"/>
  <c r="EP23" i="5"/>
  <c r="EO23" i="5"/>
  <c r="EN23" i="5"/>
  <c r="EM23" i="5"/>
  <c r="EL23" i="5"/>
  <c r="EK23" i="5"/>
  <c r="EJ23" i="5"/>
  <c r="EI23" i="5"/>
  <c r="EH23" i="5"/>
  <c r="EE54" i="5"/>
  <c r="ED54" i="5"/>
  <c r="EC54" i="5"/>
  <c r="EE53" i="5"/>
  <c r="ED53" i="5"/>
  <c r="EC53" i="5"/>
  <c r="EE52" i="5"/>
  <c r="ED52" i="5"/>
  <c r="EC52" i="5"/>
  <c r="EE51" i="5"/>
  <c r="ED51" i="5"/>
  <c r="EC51" i="5"/>
  <c r="EE50" i="5"/>
  <c r="ED50" i="5"/>
  <c r="EC50" i="5"/>
  <c r="EE49" i="5"/>
  <c r="ED49" i="5"/>
  <c r="EC49" i="5"/>
  <c r="EG25" i="5"/>
  <c r="EF25" i="5"/>
  <c r="EE25" i="5"/>
  <c r="ED25" i="5"/>
  <c r="EC25" i="5"/>
  <c r="EB25" i="5"/>
  <c r="EA25" i="5"/>
  <c r="DZ25" i="5"/>
  <c r="DY25" i="5"/>
  <c r="EG24" i="5"/>
  <c r="EF24" i="5"/>
  <c r="EE24" i="5"/>
  <c r="ED24" i="5"/>
  <c r="EC24" i="5"/>
  <c r="EB24" i="5"/>
  <c r="EA24" i="5"/>
  <c r="DZ24" i="5"/>
  <c r="DY24" i="5"/>
  <c r="EG23" i="5"/>
  <c r="EF23" i="5"/>
  <c r="EE23" i="5"/>
  <c r="ED23" i="5"/>
  <c r="EC23" i="5"/>
  <c r="EB23" i="5"/>
  <c r="EA23" i="5"/>
  <c r="DZ23" i="5"/>
  <c r="DY23" i="5"/>
  <c r="DV54" i="5"/>
  <c r="DU54" i="5"/>
  <c r="DT54" i="5"/>
  <c r="DV53" i="5"/>
  <c r="DU53" i="5"/>
  <c r="DT53" i="5"/>
  <c r="DV52" i="5"/>
  <c r="DU52" i="5"/>
  <c r="DT52" i="5"/>
  <c r="DV51" i="5"/>
  <c r="DU51" i="5"/>
  <c r="DT51" i="5"/>
  <c r="DV50" i="5"/>
  <c r="DU50" i="5"/>
  <c r="DT50" i="5"/>
  <c r="DV49" i="5"/>
  <c r="DU49" i="5"/>
  <c r="DT49" i="5"/>
  <c r="DX25" i="5"/>
  <c r="DW25" i="5"/>
  <c r="DV25" i="5"/>
  <c r="DU25" i="5"/>
  <c r="DT25" i="5"/>
  <c r="DS25" i="5"/>
  <c r="DR25" i="5"/>
  <c r="DQ25" i="5"/>
  <c r="DP25" i="5"/>
  <c r="DX24" i="5"/>
  <c r="DW24" i="5"/>
  <c r="DV24" i="5"/>
  <c r="DU24" i="5"/>
  <c r="DT24" i="5"/>
  <c r="DS24" i="5"/>
  <c r="DR24" i="5"/>
  <c r="DQ24" i="5"/>
  <c r="DP24" i="5"/>
  <c r="DX23" i="5"/>
  <c r="DW23" i="5"/>
  <c r="DV23" i="5"/>
  <c r="DU23" i="5"/>
  <c r="DT23" i="5"/>
  <c r="DS23" i="5"/>
  <c r="DR23" i="5"/>
  <c r="DQ23" i="5"/>
  <c r="DP23" i="5"/>
  <c r="DM54" i="5"/>
  <c r="DL54" i="5"/>
  <c r="DK54" i="5"/>
  <c r="DM53" i="5"/>
  <c r="DL53" i="5"/>
  <c r="DK53" i="5"/>
  <c r="DM52" i="5"/>
  <c r="DL52" i="5"/>
  <c r="DK52" i="5"/>
  <c r="DM51" i="5"/>
  <c r="DL51" i="5"/>
  <c r="DK51" i="5"/>
  <c r="DM50" i="5"/>
  <c r="DL50" i="5"/>
  <c r="DK50" i="5"/>
  <c r="DM49" i="5"/>
  <c r="DL49" i="5"/>
  <c r="DK49" i="5"/>
  <c r="DO25" i="5"/>
  <c r="DN25" i="5"/>
  <c r="DM25" i="5"/>
  <c r="DL25" i="5"/>
  <c r="DK25" i="5"/>
  <c r="DJ25" i="5"/>
  <c r="DI25" i="5"/>
  <c r="DH25" i="5"/>
  <c r="DG25" i="5"/>
  <c r="DO24" i="5"/>
  <c r="DN24" i="5"/>
  <c r="DM24" i="5"/>
  <c r="DL24" i="5"/>
  <c r="DK24" i="5"/>
  <c r="DJ24" i="5"/>
  <c r="DI24" i="5"/>
  <c r="DH24" i="5"/>
  <c r="DG24" i="5"/>
  <c r="DO23" i="5"/>
  <c r="DN23" i="5"/>
  <c r="DM23" i="5"/>
  <c r="DL23" i="5"/>
  <c r="DK23" i="5"/>
  <c r="DJ23" i="5"/>
  <c r="DI23" i="5"/>
  <c r="DH23" i="5"/>
  <c r="DG23" i="5"/>
  <c r="DD54" i="5"/>
  <c r="DC54" i="5"/>
  <c r="DB54" i="5"/>
  <c r="DD53" i="5"/>
  <c r="DC53" i="5"/>
  <c r="DB53" i="5"/>
  <c r="DD52" i="5"/>
  <c r="DC52" i="5"/>
  <c r="DB52" i="5"/>
  <c r="DD51" i="5"/>
  <c r="DC51" i="5"/>
  <c r="DB51" i="5"/>
  <c r="DD50" i="5"/>
  <c r="DC50" i="5"/>
  <c r="DB50" i="5"/>
  <c r="DD49" i="5"/>
  <c r="DC49" i="5"/>
  <c r="DB49" i="5"/>
  <c r="DF25" i="5"/>
  <c r="DE25" i="5"/>
  <c r="DD25" i="5"/>
  <c r="DC25" i="5"/>
  <c r="DB25" i="5"/>
  <c r="DA25" i="5"/>
  <c r="CZ25" i="5"/>
  <c r="CY25" i="5"/>
  <c r="CX25" i="5"/>
  <c r="DF24" i="5"/>
  <c r="DE24" i="5"/>
  <c r="DD24" i="5"/>
  <c r="DC24" i="5"/>
  <c r="DB24" i="5"/>
  <c r="DA24" i="5"/>
  <c r="CZ24" i="5"/>
  <c r="CY24" i="5"/>
  <c r="CX24" i="5"/>
  <c r="DF23" i="5"/>
  <c r="DE23" i="5"/>
  <c r="DD23" i="5"/>
  <c r="DC23" i="5"/>
  <c r="DB23" i="5"/>
  <c r="DA23" i="5"/>
  <c r="CZ23" i="5"/>
  <c r="CY23" i="5"/>
  <c r="CX23" i="5"/>
  <c r="L58" i="15" l="1"/>
  <c r="P47" i="15"/>
  <c r="P58" i="15" s="1"/>
  <c r="BG137" i="16"/>
  <c r="BD131" i="15"/>
  <c r="AY126" i="15"/>
  <c r="E45" i="13"/>
  <c r="T135" i="13"/>
  <c r="I60" i="13"/>
  <c r="I45" i="13" s="1"/>
  <c r="M45" i="13" s="1"/>
  <c r="K20" i="16"/>
  <c r="O20" i="16" s="1"/>
  <c r="AF126" i="16"/>
  <c r="T136" i="13"/>
  <c r="I81" i="13"/>
  <c r="I46" i="13" s="1"/>
  <c r="E46" i="13"/>
  <c r="M81" i="13"/>
  <c r="I45" i="15"/>
  <c r="M45" i="15" s="1"/>
  <c r="AZ127" i="16"/>
  <c r="P11" i="16"/>
  <c r="L31" i="16"/>
  <c r="BA127" i="15"/>
  <c r="BH127" i="15"/>
  <c r="AC141" i="16"/>
  <c r="I29" i="15"/>
  <c r="M29" i="15" s="1"/>
  <c r="P58" i="16"/>
  <c r="J45" i="15"/>
  <c r="N45" i="15" s="1"/>
  <c r="F46" i="13"/>
  <c r="J81" i="13"/>
  <c r="J46" i="13" s="1"/>
  <c r="U141" i="13"/>
  <c r="N81" i="13"/>
  <c r="P49" i="15"/>
  <c r="P57" i="15" s="1"/>
  <c r="L57" i="15"/>
  <c r="BC132" i="15"/>
  <c r="H29" i="15"/>
  <c r="L29" i="15" s="1"/>
  <c r="P29" i="15" s="1"/>
  <c r="H29" i="16"/>
  <c r="L29" i="16" s="1"/>
  <c r="P29" i="16" s="1"/>
  <c r="H69" i="13"/>
  <c r="L69" i="13" s="1"/>
  <c r="P69" i="13" s="1"/>
  <c r="G55" i="5" a="1"/>
  <c r="G55" i="5" s="1"/>
  <c r="K26" i="5" s="1" a="1"/>
  <c r="K26" i="5" s="1"/>
  <c r="J54" i="16"/>
  <c r="N54" i="16" s="1"/>
  <c r="I54" i="15"/>
  <c r="M54" i="15" s="1"/>
  <c r="G45" i="13"/>
  <c r="V145" i="13"/>
  <c r="K60" i="13"/>
  <c r="P24" i="15"/>
  <c r="P32" i="15" s="1"/>
  <c r="L32" i="15"/>
  <c r="BC131" i="15"/>
  <c r="BI131" i="15"/>
  <c r="AZ126" i="15"/>
  <c r="BH126" i="15"/>
  <c r="AY127" i="16"/>
  <c r="P52" i="15"/>
  <c r="P56" i="15" s="1"/>
  <c r="L56" i="15"/>
  <c r="P18" i="16"/>
  <c r="L33" i="16"/>
  <c r="BA127" i="16"/>
  <c r="H54" i="15"/>
  <c r="L54" i="15" s="1"/>
  <c r="P54" i="15" s="1"/>
  <c r="H54" i="16"/>
  <c r="H90" i="13"/>
  <c r="L90" i="13" s="1"/>
  <c r="P90" i="13" s="1"/>
  <c r="H45" i="13"/>
  <c r="W150" i="13"/>
  <c r="AJ135" i="13" s="1"/>
  <c r="L60" i="13"/>
  <c r="L45" i="13" s="1"/>
  <c r="P45" i="13" s="1"/>
  <c r="P60" i="13"/>
  <c r="L20" i="15"/>
  <c r="P20" i="15"/>
  <c r="AY127" i="15"/>
  <c r="BD131" i="16"/>
  <c r="BI131" i="16"/>
  <c r="M11" i="16"/>
  <c r="I31" i="16"/>
  <c r="G46" i="13"/>
  <c r="V146" i="13"/>
  <c r="K81" i="13"/>
  <c r="K46" i="13" s="1"/>
  <c r="O46" i="13" s="1"/>
  <c r="J45" i="16"/>
  <c r="N45" i="16" s="1"/>
  <c r="N60" i="13"/>
  <c r="P27" i="15"/>
  <c r="P31" i="15" s="1"/>
  <c r="L31" i="15"/>
  <c r="P14" i="16"/>
  <c r="L32" i="16"/>
  <c r="P36" i="16"/>
  <c r="L56" i="16"/>
  <c r="BG137" i="15"/>
  <c r="BJ137" i="15"/>
  <c r="BF136" i="16"/>
  <c r="BJ136" i="16"/>
  <c r="BF137" i="15"/>
  <c r="BE136" i="15"/>
  <c r="BJ136" i="15"/>
  <c r="H45" i="15"/>
  <c r="L45" i="15" s="1"/>
  <c r="P45" i="15" s="1"/>
  <c r="H45" i="16"/>
  <c r="H81" i="13"/>
  <c r="Y169" i="1"/>
  <c r="U196" i="1"/>
  <c r="U201" i="1" s="1"/>
  <c r="H253" i="1" s="1"/>
  <c r="AA169" i="1"/>
  <c r="W196" i="1"/>
  <c r="W201" i="1" s="1"/>
  <c r="H303" i="1" s="1"/>
  <c r="H252" i="1"/>
  <c r="H277" i="1" s="1"/>
  <c r="H302" i="1" s="1"/>
  <c r="I227" i="1"/>
  <c r="T195" i="1"/>
  <c r="T200" i="1" s="1"/>
  <c r="X168" i="1"/>
  <c r="P196" i="1"/>
  <c r="P201" i="1" s="1"/>
  <c r="G228" i="1" s="1"/>
  <c r="T169" i="1"/>
  <c r="N289" i="1"/>
  <c r="V196" i="1"/>
  <c r="V201" i="1" s="1"/>
  <c r="H278" i="1" s="1"/>
  <c r="Z169" i="1"/>
  <c r="N299" i="1"/>
  <c r="CN24" i="5"/>
  <c r="CM24" i="5"/>
  <c r="CL24" i="5"/>
  <c r="CK24" i="5"/>
  <c r="CJ24" i="5"/>
  <c r="CI24" i="5"/>
  <c r="CH24" i="5"/>
  <c r="CG24" i="5"/>
  <c r="CN23" i="5"/>
  <c r="CM23" i="5"/>
  <c r="CL23" i="5"/>
  <c r="CK23" i="5"/>
  <c r="CJ23" i="5"/>
  <c r="CI23" i="5"/>
  <c r="CH23" i="5"/>
  <c r="CG23" i="5"/>
  <c r="CE24" i="5"/>
  <c r="CD24" i="5"/>
  <c r="CC24" i="5"/>
  <c r="CB24" i="5"/>
  <c r="CA24" i="5"/>
  <c r="BZ24" i="5"/>
  <c r="BY24" i="5"/>
  <c r="BX24" i="5"/>
  <c r="CE23" i="5"/>
  <c r="CD23" i="5"/>
  <c r="CC23" i="5"/>
  <c r="CB23" i="5"/>
  <c r="CA23" i="5"/>
  <c r="BZ23" i="5"/>
  <c r="BY23" i="5"/>
  <c r="BX23" i="5"/>
  <c r="BV24" i="5"/>
  <c r="BU24" i="5"/>
  <c r="BT24" i="5"/>
  <c r="BS24" i="5"/>
  <c r="BR24" i="5"/>
  <c r="BQ24" i="5"/>
  <c r="BP24" i="5"/>
  <c r="BO24" i="5"/>
  <c r="BV23" i="5"/>
  <c r="BU23" i="5"/>
  <c r="BT23" i="5"/>
  <c r="BS23" i="5"/>
  <c r="BR23" i="5"/>
  <c r="BQ23" i="5"/>
  <c r="BP23" i="5"/>
  <c r="BO23" i="5"/>
  <c r="BM24" i="5"/>
  <c r="BL24" i="5"/>
  <c r="BK24" i="5"/>
  <c r="BJ24" i="5"/>
  <c r="BI24" i="5"/>
  <c r="BH24" i="5"/>
  <c r="BG24" i="5"/>
  <c r="BF24" i="5"/>
  <c r="BM23" i="5"/>
  <c r="BL23" i="5"/>
  <c r="BK23" i="5"/>
  <c r="BJ23" i="5"/>
  <c r="BI23" i="5"/>
  <c r="BH23" i="5"/>
  <c r="BG23" i="5"/>
  <c r="BF23" i="5"/>
  <c r="AU24" i="5"/>
  <c r="AT24" i="5"/>
  <c r="AS24" i="5"/>
  <c r="AR24" i="5"/>
  <c r="AQ24" i="5"/>
  <c r="AP24" i="5"/>
  <c r="AO24" i="5"/>
  <c r="AN24" i="5"/>
  <c r="AU23" i="5"/>
  <c r="AT23" i="5"/>
  <c r="AS23" i="5"/>
  <c r="AR23" i="5"/>
  <c r="AQ23" i="5"/>
  <c r="AP23" i="5"/>
  <c r="AO23" i="5"/>
  <c r="AN23" i="5"/>
  <c r="AL24" i="5"/>
  <c r="AK24" i="5"/>
  <c r="AJ24" i="5"/>
  <c r="AI24" i="5"/>
  <c r="AH24" i="5"/>
  <c r="AG24" i="5"/>
  <c r="AF24" i="5"/>
  <c r="AE24" i="5"/>
  <c r="AL23" i="5"/>
  <c r="AK23" i="5"/>
  <c r="AJ23" i="5"/>
  <c r="AI23" i="5"/>
  <c r="AH23" i="5"/>
  <c r="AG23" i="5"/>
  <c r="AF23" i="5"/>
  <c r="AE23" i="5"/>
  <c r="AC24" i="5"/>
  <c r="AB24" i="5"/>
  <c r="AA24" i="5"/>
  <c r="Z24" i="5"/>
  <c r="Y24" i="5"/>
  <c r="X24" i="5"/>
  <c r="W24" i="5"/>
  <c r="V24" i="5"/>
  <c r="AC23" i="5"/>
  <c r="AB23" i="5"/>
  <c r="AA23" i="5"/>
  <c r="Z23" i="5"/>
  <c r="Y23" i="5"/>
  <c r="X23" i="5"/>
  <c r="W23" i="5"/>
  <c r="V23" i="5"/>
  <c r="N46" i="13" l="1"/>
  <c r="M46" i="13"/>
  <c r="L81" i="13"/>
  <c r="L46" i="13" s="1"/>
  <c r="H46" i="13"/>
  <c r="W151" i="13"/>
  <c r="AL136" i="13" s="1"/>
  <c r="O81" i="13"/>
  <c r="L54" i="16"/>
  <c r="P54" i="16"/>
  <c r="O60" i="13"/>
  <c r="K45" i="13"/>
  <c r="O45" i="13" s="1"/>
  <c r="AZ126" i="16"/>
  <c r="BH126" i="16"/>
  <c r="L45" i="16"/>
  <c r="P45" i="16" s="1"/>
  <c r="AI135" i="13"/>
  <c r="AL135" i="13"/>
  <c r="AK135" i="13"/>
  <c r="AY126" i="16"/>
  <c r="BA126" i="16"/>
  <c r="M60" i="13"/>
  <c r="T196" i="1"/>
  <c r="T201" i="1" s="1"/>
  <c r="H228" i="1" s="1"/>
  <c r="X169" i="1"/>
  <c r="X195" i="1"/>
  <c r="X200" i="1" s="1"/>
  <c r="AB168" i="1"/>
  <c r="J227" i="1"/>
  <c r="I252" i="1"/>
  <c r="I277" i="1" s="1"/>
  <c r="I302" i="1" s="1"/>
  <c r="Z196" i="1"/>
  <c r="Z201" i="1" s="1"/>
  <c r="I278" i="1" s="1"/>
  <c r="AD169" i="1"/>
  <c r="AE169" i="1"/>
  <c r="AA196" i="1"/>
  <c r="AA201" i="1" s="1"/>
  <c r="I303" i="1" s="1"/>
  <c r="AC169" i="1"/>
  <c r="Y196" i="1"/>
  <c r="Y201" i="1" s="1"/>
  <c r="I253" i="1" s="1"/>
  <c r="T24" i="5"/>
  <c r="S24" i="5"/>
  <c r="R24" i="5"/>
  <c r="Q24" i="5"/>
  <c r="P24" i="5"/>
  <c r="O24" i="5"/>
  <c r="N24" i="5"/>
  <c r="M24" i="5"/>
  <c r="T23" i="5"/>
  <c r="S23" i="5"/>
  <c r="R23" i="5"/>
  <c r="Q23" i="5"/>
  <c r="P23" i="5"/>
  <c r="O23" i="5"/>
  <c r="N23" i="5"/>
  <c r="M23" i="5"/>
  <c r="AZ49" i="5" a="1"/>
  <c r="AI136" i="13" l="1"/>
  <c r="AJ136" i="13"/>
  <c r="AK136" i="13"/>
  <c r="P81" i="13"/>
  <c r="P46" i="13"/>
  <c r="AD196" i="1"/>
  <c r="AD201" i="1" s="1"/>
  <c r="J278" i="1" s="1"/>
  <c r="AH169" i="1"/>
  <c r="AB195" i="1"/>
  <c r="AB200" i="1" s="1"/>
  <c r="AF168" i="1"/>
  <c r="X196" i="1"/>
  <c r="X201" i="1" s="1"/>
  <c r="I228" i="1" s="1"/>
  <c r="AB169" i="1"/>
  <c r="AG169" i="1"/>
  <c r="AC196" i="1"/>
  <c r="AC201" i="1" s="1"/>
  <c r="J253" i="1" s="1"/>
  <c r="AI169" i="1"/>
  <c r="AE196" i="1"/>
  <c r="AE201" i="1" s="1"/>
  <c r="J303" i="1" s="1"/>
  <c r="J252" i="1"/>
  <c r="J277" i="1" s="1"/>
  <c r="J302" i="1" s="1"/>
  <c r="K227" i="1"/>
  <c r="BJ49" i="5"/>
  <c r="BS49" i="5" s="1"/>
  <c r="BI50" i="5"/>
  <c r="BR50" i="5" s="1"/>
  <c r="BK50" i="5"/>
  <c r="BT50" i="5" s="1"/>
  <c r="BJ51" i="5"/>
  <c r="BS51" i="5" s="1"/>
  <c r="AR49" i="5"/>
  <c r="AQ50" i="5"/>
  <c r="AS50" i="5"/>
  <c r="AR51" i="5"/>
  <c r="AI49" i="5"/>
  <c r="AH50" i="5"/>
  <c r="AJ50" i="5"/>
  <c r="AI51" i="5"/>
  <c r="BK49" i="5"/>
  <c r="BT49" i="5" s="1"/>
  <c r="BI51" i="5"/>
  <c r="BR51" i="5" s="1"/>
  <c r="AS49" i="5"/>
  <c r="AQ51" i="5"/>
  <c r="AJ49" i="5"/>
  <c r="AH51" i="5"/>
  <c r="BJ50" i="5"/>
  <c r="BS50" i="5" s="1"/>
  <c r="BK51" i="5"/>
  <c r="BT51" i="5" s="1"/>
  <c r="AR50" i="5"/>
  <c r="AS51" i="5"/>
  <c r="AI50" i="5"/>
  <c r="AJ51" i="5"/>
  <c r="AZ49" i="5"/>
  <c r="L227" i="1" l="1"/>
  <c r="K252" i="1"/>
  <c r="K277" i="1" s="1"/>
  <c r="K302" i="1" s="1"/>
  <c r="AB196" i="1"/>
  <c r="AB201" i="1" s="1"/>
  <c r="J228" i="1" s="1"/>
  <c r="AF169" i="1"/>
  <c r="AF195" i="1"/>
  <c r="AF200" i="1" s="1"/>
  <c r="AJ168" i="1"/>
  <c r="AH196" i="1"/>
  <c r="AH201" i="1" s="1"/>
  <c r="K278" i="1" s="1"/>
  <c r="AL169" i="1"/>
  <c r="AM169" i="1"/>
  <c r="AI196" i="1"/>
  <c r="AI201" i="1" s="1"/>
  <c r="K303" i="1" s="1"/>
  <c r="AK169" i="1"/>
  <c r="AG196" i="1"/>
  <c r="AG201" i="1" s="1"/>
  <c r="K253" i="1" s="1"/>
  <c r="BI49" i="5"/>
  <c r="BR49" i="5" s="1"/>
  <c r="AQ49" i="5"/>
  <c r="AH49" i="5"/>
  <c r="AL196" i="1" l="1"/>
  <c r="AL201" i="1" s="1"/>
  <c r="L278" i="1" s="1"/>
  <c r="AP169" i="1"/>
  <c r="AJ195" i="1"/>
  <c r="AJ200" i="1" s="1"/>
  <c r="AN168" i="1"/>
  <c r="AF196" i="1"/>
  <c r="AF201" i="1" s="1"/>
  <c r="K228" i="1" s="1"/>
  <c r="AJ169" i="1"/>
  <c r="AO169" i="1"/>
  <c r="AK196" i="1"/>
  <c r="AK201" i="1" s="1"/>
  <c r="L253" i="1" s="1"/>
  <c r="AQ169" i="1"/>
  <c r="AM196" i="1"/>
  <c r="AM201" i="1" s="1"/>
  <c r="L303" i="1" s="1"/>
  <c r="L252" i="1"/>
  <c r="L277" i="1" s="1"/>
  <c r="L302" i="1" s="1"/>
  <c r="M227" i="1"/>
  <c r="AQ52" i="5"/>
  <c r="BI52" i="5"/>
  <c r="BR52" i="5" s="1"/>
  <c r="AH52" i="5"/>
  <c r="N227" i="1" l="1"/>
  <c r="M252" i="1"/>
  <c r="M277" i="1" s="1"/>
  <c r="M302" i="1" s="1"/>
  <c r="AJ196" i="1"/>
  <c r="AJ201" i="1" s="1"/>
  <c r="L228" i="1" s="1"/>
  <c r="AN169" i="1"/>
  <c r="AN195" i="1"/>
  <c r="AN200" i="1" s="1"/>
  <c r="AR168" i="1"/>
  <c r="AP196" i="1"/>
  <c r="AP201" i="1" s="1"/>
  <c r="M278" i="1" s="1"/>
  <c r="N278" i="1" s="1"/>
  <c r="O278" i="1" s="1"/>
  <c r="P278" i="1" s="1"/>
  <c r="Q278" i="1" s="1"/>
  <c r="R278" i="1" s="1"/>
  <c r="S278" i="1" s="1"/>
  <c r="AT169" i="1"/>
  <c r="AU169" i="1"/>
  <c r="AQ196" i="1"/>
  <c r="AQ201" i="1" s="1"/>
  <c r="M303" i="1" s="1"/>
  <c r="N303" i="1" s="1"/>
  <c r="O303" i="1" s="1"/>
  <c r="P303" i="1" s="1"/>
  <c r="Q303" i="1" s="1"/>
  <c r="R303" i="1" s="1"/>
  <c r="S303" i="1" s="1"/>
  <c r="AS169" i="1"/>
  <c r="AO196" i="1"/>
  <c r="AO201" i="1" s="1"/>
  <c r="M253" i="1" s="1"/>
  <c r="N253" i="1" s="1"/>
  <c r="O253" i="1" s="1"/>
  <c r="P253" i="1" s="1"/>
  <c r="Q253" i="1" s="1"/>
  <c r="R253" i="1" s="1"/>
  <c r="S253" i="1" s="1"/>
  <c r="BJ54" i="5"/>
  <c r="BS54" i="5" s="1"/>
  <c r="AR54" i="5"/>
  <c r="AI54" i="5"/>
  <c r="BI54" i="5"/>
  <c r="BR54" i="5" s="1"/>
  <c r="AQ54" i="5"/>
  <c r="AH54" i="5"/>
  <c r="BK52" i="5"/>
  <c r="BT52" i="5" s="1"/>
  <c r="AS52" i="5"/>
  <c r="AJ52" i="5"/>
  <c r="BJ52" i="5"/>
  <c r="BS52" i="5" s="1"/>
  <c r="AR52" i="5"/>
  <c r="AI52" i="5"/>
  <c r="AZ55" i="5" a="1"/>
  <c r="BJ53" i="5"/>
  <c r="BS53" i="5" s="1"/>
  <c r="AR53" i="5"/>
  <c r="AI53" i="5"/>
  <c r="BI53" i="5"/>
  <c r="BR53" i="5" s="1"/>
  <c r="AQ53" i="5"/>
  <c r="AH53" i="5"/>
  <c r="BK53" i="5"/>
  <c r="BT53" i="5" s="1"/>
  <c r="AS53" i="5"/>
  <c r="AJ53" i="5"/>
  <c r="BK54" i="5"/>
  <c r="BT54" i="5" s="1"/>
  <c r="AS54" i="5"/>
  <c r="AJ54" i="5"/>
  <c r="AT196" i="1" l="1"/>
  <c r="AT201" i="1" s="1"/>
  <c r="AX169" i="1"/>
  <c r="AR195" i="1"/>
  <c r="AV168" i="1"/>
  <c r="AN196" i="1"/>
  <c r="AN201" i="1" s="1"/>
  <c r="M228" i="1" s="1"/>
  <c r="N228" i="1" s="1"/>
  <c r="O228" i="1" s="1"/>
  <c r="P228" i="1" s="1"/>
  <c r="Q228" i="1" s="1"/>
  <c r="R228" i="1" s="1"/>
  <c r="S228" i="1" s="1"/>
  <c r="AR169" i="1"/>
  <c r="AW169" i="1"/>
  <c r="AS196" i="1"/>
  <c r="AS201" i="1" s="1"/>
  <c r="AU196" i="1"/>
  <c r="AU201" i="1" s="1"/>
  <c r="AY169" i="1"/>
  <c r="N252" i="1"/>
  <c r="N277" i="1" s="1"/>
  <c r="N302" i="1" s="1"/>
  <c r="O227" i="1"/>
  <c r="AZ55" i="5"/>
  <c r="BK55" i="5"/>
  <c r="BT55" i="5" s="1"/>
  <c r="BJ56" i="5"/>
  <c r="BS56" i="5" s="1"/>
  <c r="BI57" i="5"/>
  <c r="BR57" i="5" s="1"/>
  <c r="BK57" i="5"/>
  <c r="BT57" i="5" s="1"/>
  <c r="BJ55" i="5"/>
  <c r="BS55" i="5" s="1"/>
  <c r="BI56" i="5"/>
  <c r="BR56" i="5" s="1"/>
  <c r="BK56" i="5"/>
  <c r="BT56" i="5" s="1"/>
  <c r="BJ57" i="5"/>
  <c r="BS57" i="5" s="1"/>
  <c r="AR55" i="5"/>
  <c r="AQ56" i="5"/>
  <c r="AS56" i="5"/>
  <c r="AR57" i="5"/>
  <c r="AI55" i="5"/>
  <c r="AH56" i="5"/>
  <c r="AJ56" i="5"/>
  <c r="AI57" i="5"/>
  <c r="AS55" i="5"/>
  <c r="AR56" i="5"/>
  <c r="AQ57" i="5"/>
  <c r="AS57" i="5"/>
  <c r="AJ55" i="5"/>
  <c r="AI56" i="5"/>
  <c r="AH57" i="5"/>
  <c r="AJ57" i="5"/>
  <c r="P227" i="1" l="1"/>
  <c r="O252" i="1"/>
  <c r="O277" i="1" s="1"/>
  <c r="O302" i="1" s="1"/>
  <c r="AY196" i="1"/>
  <c r="AY201" i="1" s="1"/>
  <c r="BC169" i="1"/>
  <c r="AR196" i="1"/>
  <c r="AR201" i="1" s="1"/>
  <c r="AT190" i="1"/>
  <c r="AV169" i="1"/>
  <c r="AV195" i="1"/>
  <c r="AZ168" i="1"/>
  <c r="AX196" i="1"/>
  <c r="AX201" i="1" s="1"/>
  <c r="BB169" i="1"/>
  <c r="BA169" i="1"/>
  <c r="AW196" i="1"/>
  <c r="AW201" i="1" s="1"/>
  <c r="AR200" i="1"/>
  <c r="AR190" i="1"/>
  <c r="AS181" i="1"/>
  <c r="AT181" i="1"/>
  <c r="AR181" i="1"/>
  <c r="BI55" i="5"/>
  <c r="AQ55" i="5"/>
  <c r="AH55" i="5"/>
  <c r="AS222" i="1" l="1"/>
  <c r="AS213" i="1"/>
  <c r="AR222" i="1"/>
  <c r="AR213" i="1"/>
  <c r="AT222" i="1"/>
  <c r="AT213" i="1"/>
  <c r="BE169" i="1"/>
  <c r="BA196" i="1"/>
  <c r="BA201" i="1" s="1"/>
  <c r="AV200" i="1"/>
  <c r="AX181" i="1"/>
  <c r="AV181" i="1"/>
  <c r="AV190" i="1"/>
  <c r="AW181" i="1"/>
  <c r="BC196" i="1"/>
  <c r="BC201" i="1" s="1"/>
  <c r="BG169" i="1"/>
  <c r="BB196" i="1"/>
  <c r="BB201" i="1" s="1"/>
  <c r="BF169" i="1"/>
  <c r="AZ195" i="1"/>
  <c r="BD168" i="1"/>
  <c r="AV196" i="1"/>
  <c r="AV201" i="1" s="1"/>
  <c r="AX190" i="1"/>
  <c r="AZ169" i="1"/>
  <c r="P252" i="1"/>
  <c r="P277" i="1" s="1"/>
  <c r="P302" i="1" s="1"/>
  <c r="Q227" i="1"/>
  <c r="BR55" i="5"/>
  <c r="R227" i="1" l="1"/>
  <c r="Q252" i="1"/>
  <c r="Q277" i="1" s="1"/>
  <c r="Q302" i="1" s="1"/>
  <c r="AZ196" i="1"/>
  <c r="AZ201" i="1" s="1"/>
  <c r="BB190" i="1"/>
  <c r="BD169" i="1"/>
  <c r="AZ200" i="1"/>
  <c r="AZ190" i="1"/>
  <c r="BA181" i="1"/>
  <c r="BB181" i="1"/>
  <c r="AZ181" i="1"/>
  <c r="BD195" i="1"/>
  <c r="BH168" i="1"/>
  <c r="BF196" i="1"/>
  <c r="BF201" i="1" s="1"/>
  <c r="BJ169" i="1"/>
  <c r="BG196" i="1"/>
  <c r="BG201" i="1" s="1"/>
  <c r="BK169" i="1"/>
  <c r="AX222" i="1"/>
  <c r="AV222" i="1"/>
  <c r="AX213" i="1"/>
  <c r="AV213" i="1"/>
  <c r="AW222" i="1"/>
  <c r="AW213" i="1"/>
  <c r="BI169" i="1"/>
  <c r="BE196" i="1"/>
  <c r="BE201" i="1" s="1"/>
  <c r="BD24" i="5"/>
  <c r="BC24" i="5"/>
  <c r="BB24" i="5"/>
  <c r="BA24" i="5"/>
  <c r="AZ24" i="5"/>
  <c r="AY24" i="5"/>
  <c r="AX24" i="5"/>
  <c r="AW24" i="5"/>
  <c r="BD23" i="5"/>
  <c r="BC23" i="5"/>
  <c r="BB23" i="5"/>
  <c r="BA23" i="5"/>
  <c r="AZ23" i="5"/>
  <c r="AY23" i="5"/>
  <c r="AX23" i="5"/>
  <c r="AW23" i="5"/>
  <c r="CS49" i="5" a="1"/>
  <c r="BK196" i="1" l="1"/>
  <c r="BK201" i="1" s="1"/>
  <c r="BO169" i="1"/>
  <c r="BO196" i="1" s="1"/>
  <c r="BO201" i="1" s="1"/>
  <c r="BJ196" i="1"/>
  <c r="BJ201" i="1" s="1"/>
  <c r="BN169" i="1"/>
  <c r="BN196" i="1" s="1"/>
  <c r="BN201" i="1" s="1"/>
  <c r="BH195" i="1"/>
  <c r="BL168" i="1"/>
  <c r="BL195" i="1" s="1"/>
  <c r="BA222" i="1"/>
  <c r="BA213" i="1"/>
  <c r="BB222" i="1"/>
  <c r="BB213" i="1"/>
  <c r="AZ222" i="1"/>
  <c r="AZ213" i="1"/>
  <c r="BM169" i="1"/>
  <c r="BM196" i="1" s="1"/>
  <c r="BM201" i="1" s="1"/>
  <c r="BI196" i="1"/>
  <c r="BI201" i="1" s="1"/>
  <c r="BF181" i="1"/>
  <c r="BD181" i="1"/>
  <c r="BD200" i="1"/>
  <c r="BD190" i="1"/>
  <c r="BE181" i="1"/>
  <c r="BD196" i="1"/>
  <c r="BD201" i="1" s="1"/>
  <c r="BF190" i="1"/>
  <c r="BH169" i="1"/>
  <c r="R252" i="1"/>
  <c r="R277" i="1" s="1"/>
  <c r="R302" i="1" s="1"/>
  <c r="S227" i="1"/>
  <c r="S252" i="1" s="1"/>
  <c r="S277" i="1" s="1"/>
  <c r="S302" i="1" s="1"/>
  <c r="CS49" i="5"/>
  <c r="CK51" i="5"/>
  <c r="CL50" i="5"/>
  <c r="CJ50" i="5"/>
  <c r="CK49" i="5"/>
  <c r="CC50" i="5"/>
  <c r="CB51" i="5"/>
  <c r="CB49" i="5"/>
  <c r="CA50" i="5"/>
  <c r="CL51" i="5"/>
  <c r="CK50" i="5"/>
  <c r="CC49" i="5"/>
  <c r="CB50" i="5"/>
  <c r="CA51" i="5"/>
  <c r="CJ51" i="5"/>
  <c r="CL49" i="5"/>
  <c r="CC51" i="5"/>
  <c r="G49" i="5" a="1"/>
  <c r="BH196" i="1" l="1"/>
  <c r="BH201" i="1" s="1"/>
  <c r="BJ190" i="1"/>
  <c r="BL169" i="1"/>
  <c r="BL200" i="1"/>
  <c r="BN181" i="1"/>
  <c r="BL181" i="1"/>
  <c r="BL190" i="1"/>
  <c r="BM181" i="1"/>
  <c r="BF222" i="1"/>
  <c r="BD222" i="1"/>
  <c r="BF213" i="1"/>
  <c r="BD213" i="1"/>
  <c r="BE222" i="1"/>
  <c r="BE213" i="1"/>
  <c r="BH200" i="1"/>
  <c r="BH190" i="1"/>
  <c r="BI181" i="1"/>
  <c r="BJ181" i="1"/>
  <c r="BH181" i="1"/>
  <c r="G49" i="5"/>
  <c r="P49" i="5" s="1"/>
  <c r="Y49" i="5" s="1"/>
  <c r="Q49" i="5"/>
  <c r="Z49" i="5" s="1"/>
  <c r="P50" i="5"/>
  <c r="Y50" i="5" s="1"/>
  <c r="R50" i="5"/>
  <c r="AA50" i="5" s="1"/>
  <c r="Q51" i="5"/>
  <c r="Z51" i="5" s="1"/>
  <c r="R49" i="5"/>
  <c r="AA49" i="5" s="1"/>
  <c r="Q50" i="5"/>
  <c r="Z50" i="5" s="1"/>
  <c r="P51" i="5"/>
  <c r="Y51" i="5" s="1"/>
  <c r="R51" i="5"/>
  <c r="AA51" i="5" s="1"/>
  <c r="CC53" i="5"/>
  <c r="CL53" i="5"/>
  <c r="CK52" i="5"/>
  <c r="CB52" i="5"/>
  <c r="CJ54" i="5"/>
  <c r="CA54" i="5"/>
  <c r="CL52" i="5"/>
  <c r="CC52" i="5"/>
  <c r="CJ53" i="5"/>
  <c r="CA53" i="5"/>
  <c r="CK54" i="5"/>
  <c r="CB54" i="5"/>
  <c r="CK53" i="5"/>
  <c r="CB53" i="5"/>
  <c r="CL54" i="5"/>
  <c r="CC54" i="5"/>
  <c r="CJ49" i="5"/>
  <c r="CA49" i="5"/>
  <c r="R53" i="5"/>
  <c r="AA53" i="5" s="1"/>
  <c r="R54" i="5"/>
  <c r="AA54" i="5" s="1"/>
  <c r="Q53" i="5"/>
  <c r="Z53" i="5" s="1"/>
  <c r="BN222" i="1" l="1"/>
  <c r="BL222" i="1"/>
  <c r="BN213" i="1"/>
  <c r="BL213" i="1"/>
  <c r="BM222" i="1"/>
  <c r="BM213" i="1"/>
  <c r="BI222" i="1"/>
  <c r="BI213" i="1"/>
  <c r="BH222" i="1"/>
  <c r="BH213" i="1"/>
  <c r="BJ222" i="1"/>
  <c r="BJ213" i="1"/>
  <c r="BL196" i="1"/>
  <c r="BL201" i="1" s="1"/>
  <c r="BN190" i="1"/>
  <c r="CJ52" i="5"/>
  <c r="CA52" i="5"/>
  <c r="CS55" i="5" a="1"/>
  <c r="R52" i="5"/>
  <c r="AA52" i="5" s="1"/>
  <c r="Q52" i="5"/>
  <c r="Z52" i="5" s="1"/>
  <c r="Q54" i="5"/>
  <c r="Z54" i="5" s="1"/>
  <c r="EN57" i="5" l="1"/>
  <c r="EL57" i="5"/>
  <c r="EM56" i="5"/>
  <c r="EN55" i="5"/>
  <c r="ED57" i="5"/>
  <c r="EE56" i="5"/>
  <c r="EC56" i="5"/>
  <c r="ED55" i="5"/>
  <c r="DU57" i="5"/>
  <c r="DV56" i="5"/>
  <c r="DT56" i="5"/>
  <c r="DU55" i="5"/>
  <c r="DM57" i="5"/>
  <c r="DK57" i="5"/>
  <c r="DL56" i="5"/>
  <c r="DM55" i="5"/>
  <c r="DD57" i="5"/>
  <c r="DB57" i="5"/>
  <c r="DC56" i="5"/>
  <c r="DD55" i="5"/>
  <c r="EM57" i="5"/>
  <c r="EN56" i="5"/>
  <c r="EL56" i="5"/>
  <c r="EM55" i="5"/>
  <c r="EE57" i="5"/>
  <c r="EC57" i="5"/>
  <c r="ED56" i="5"/>
  <c r="EE55" i="5"/>
  <c r="DV57" i="5"/>
  <c r="DT57" i="5"/>
  <c r="DU56" i="5"/>
  <c r="DV55" i="5"/>
  <c r="DL57" i="5"/>
  <c r="DM56" i="5"/>
  <c r="DK56" i="5"/>
  <c r="DL55" i="5"/>
  <c r="DC57" i="5"/>
  <c r="DD56" i="5"/>
  <c r="DB56" i="5"/>
  <c r="DC55" i="5"/>
  <c r="CS55" i="5"/>
  <c r="CK57" i="5"/>
  <c r="CL56" i="5"/>
  <c r="CJ56" i="5"/>
  <c r="CK55" i="5"/>
  <c r="CC56" i="5"/>
  <c r="CB57" i="5"/>
  <c r="CB55" i="5"/>
  <c r="CA56" i="5"/>
  <c r="CJ57" i="5"/>
  <c r="CL55" i="5"/>
  <c r="CC57" i="5"/>
  <c r="CL57" i="5"/>
  <c r="CK56" i="5"/>
  <c r="CC55" i="5"/>
  <c r="CB56" i="5"/>
  <c r="CA57" i="5"/>
  <c r="P54" i="5"/>
  <c r="Y54" i="5" s="1"/>
  <c r="P53" i="5"/>
  <c r="Y53" i="5" s="1"/>
  <c r="P52" i="5"/>
  <c r="Y52" i="5" s="1"/>
  <c r="EL55" i="5" l="1"/>
  <c r="DK55" i="5"/>
  <c r="DB55" i="5"/>
  <c r="EC55" i="5"/>
  <c r="DT55" i="5"/>
  <c r="Q56" i="5"/>
  <c r="Z56" i="5" s="1"/>
  <c r="CA55" i="5"/>
  <c r="CJ55" i="5"/>
  <c r="R56" i="5" l="1"/>
  <c r="AA56" i="5" s="1"/>
  <c r="P56" i="5"/>
  <c r="Y56" i="5" s="1"/>
  <c r="P55" i="5"/>
  <c r="Y55" i="5" s="1"/>
  <c r="R55" i="5"/>
  <c r="AA55" i="5" s="1"/>
  <c r="R57" i="5"/>
  <c r="AA57" i="5" s="1"/>
  <c r="P57" i="5"/>
  <c r="Y57" i="5" s="1"/>
  <c r="Q57" i="5"/>
  <c r="Z57" i="5" s="1"/>
  <c r="Q55" i="5"/>
  <c r="Z55" i="5" s="1"/>
  <c r="C23" i="5"/>
  <c r="D23" i="5"/>
  <c r="E23" i="5"/>
  <c r="F23" i="5"/>
  <c r="G23" i="5"/>
  <c r="H23" i="5"/>
  <c r="I23" i="5"/>
  <c r="J23" i="5"/>
  <c r="K23" i="5"/>
  <c r="C24" i="5"/>
  <c r="D24" i="5"/>
  <c r="E24" i="5"/>
  <c r="F24" i="5"/>
  <c r="G24" i="5"/>
  <c r="H24" i="5"/>
  <c r="I24" i="5"/>
  <c r="J24" i="5"/>
  <c r="K24" i="5"/>
  <c r="F25" i="5"/>
  <c r="G25" i="5"/>
  <c r="H25" i="5"/>
  <c r="I25" i="5"/>
  <c r="J25" i="5"/>
  <c r="K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V28" i="6" l="1"/>
  <c r="BV27" i="6"/>
  <c r="BV26" i="6"/>
  <c r="BV25" i="6"/>
  <c r="BV24" i="6"/>
  <c r="BV23" i="6"/>
  <c r="BV22" i="6"/>
  <c r="BV21" i="6"/>
  <c r="BV20" i="6"/>
  <c r="BV19" i="6"/>
  <c r="BV18" i="6"/>
  <c r="BV17" i="6"/>
  <c r="BV16" i="6"/>
  <c r="BV15" i="6"/>
  <c r="BV14" i="6"/>
  <c r="BV13" i="6"/>
  <c r="BV12" i="6"/>
  <c r="BV11" i="6"/>
  <c r="BV10" i="6"/>
  <c r="BV9" i="6"/>
  <c r="BV8" i="6"/>
  <c r="BV7" i="6"/>
  <c r="BV6" i="6"/>
  <c r="BV5" i="6"/>
  <c r="BU28" i="6"/>
  <c r="BU27" i="6"/>
  <c r="BU26" i="6"/>
  <c r="BU25" i="6"/>
  <c r="BU24" i="6"/>
  <c r="BU23" i="6"/>
  <c r="BU22" i="6"/>
  <c r="BU21" i="6"/>
  <c r="BU20" i="6"/>
  <c r="BU19" i="6"/>
  <c r="BU18" i="6"/>
  <c r="BU17" i="6"/>
  <c r="BU16" i="6"/>
  <c r="BU15" i="6"/>
  <c r="BU14" i="6"/>
  <c r="BU13" i="6"/>
  <c r="BU12" i="6"/>
  <c r="BU11" i="6"/>
  <c r="BU10" i="6"/>
  <c r="BU9" i="6"/>
  <c r="BU8" i="6"/>
  <c r="BU7" i="6"/>
  <c r="BU6" i="6"/>
  <c r="BU5" i="6"/>
  <c r="BZ25" i="6" l="1"/>
  <c r="BW8" i="6"/>
  <c r="BW7" i="6" l="1"/>
  <c r="BW9" i="6"/>
  <c r="BW10" i="6"/>
  <c r="BW11" i="6"/>
  <c r="BW12" i="6"/>
  <c r="BW13" i="6"/>
  <c r="BW14" i="6"/>
  <c r="BW15" i="6"/>
  <c r="BW16" i="6"/>
  <c r="BW17" i="6"/>
  <c r="BW18" i="6"/>
  <c r="BW19" i="6"/>
  <c r="BW20" i="6"/>
  <c r="BW21" i="6"/>
  <c r="BW22" i="6"/>
  <c r="BW23" i="6"/>
  <c r="BW24" i="6"/>
  <c r="BW25" i="6"/>
  <c r="BX24" i="6" s="1"/>
  <c r="BW26" i="6"/>
  <c r="BX26" i="6" s="1"/>
  <c r="BZ26" i="6" s="1"/>
  <c r="BW27" i="6"/>
  <c r="BW28" i="6"/>
  <c r="BW6" i="6"/>
  <c r="BZ24" i="6" l="1"/>
  <c r="CR20" i="6"/>
  <c r="CR15" i="6"/>
  <c r="CR5" i="6"/>
  <c r="CL20" i="6"/>
  <c r="CL10" i="6"/>
  <c r="CR24" i="6"/>
  <c r="CR10" i="6"/>
  <c r="CL24" i="6"/>
  <c r="CX24" i="6" s="1"/>
  <c r="CL15" i="6"/>
  <c r="CX15" i="6" s="1"/>
  <c r="CL5" i="6"/>
  <c r="CX5" i="6" s="1"/>
  <c r="CJ24" i="6"/>
  <c r="CF24" i="6"/>
  <c r="BX27" i="6"/>
  <c r="BX23" i="6"/>
  <c r="B139" i="1"/>
  <c r="B164" i="1" s="1"/>
  <c r="B129" i="1"/>
  <c r="B154" i="1" s="1"/>
  <c r="D91" i="1"/>
  <c r="D116" i="1" s="1"/>
  <c r="D141" i="1" s="1"/>
  <c r="C94" i="1"/>
  <c r="C95" i="1"/>
  <c r="C96" i="1"/>
  <c r="C97" i="1"/>
  <c r="C98" i="1"/>
  <c r="C99" i="1"/>
  <c r="C100" i="1"/>
  <c r="C101" i="1"/>
  <c r="C102" i="1"/>
  <c r="C103" i="1"/>
  <c r="C128" i="1" s="1"/>
  <c r="C153" i="1" s="1"/>
  <c r="C106" i="1"/>
  <c r="C107" i="1"/>
  <c r="C108" i="1"/>
  <c r="C109" i="1"/>
  <c r="C110" i="1"/>
  <c r="C111" i="1"/>
  <c r="C112" i="1"/>
  <c r="C113" i="1"/>
  <c r="C138" i="1" s="1"/>
  <c r="C163" i="1" s="1"/>
  <c r="C93" i="1"/>
  <c r="D29" i="1"/>
  <c r="D39" i="1" s="1"/>
  <c r="E30" i="1"/>
  <c r="E40" i="1" s="1"/>
  <c r="D92" i="1" s="1"/>
  <c r="F30" i="1"/>
  <c r="F40" i="1" s="1"/>
  <c r="D117" i="1" s="1"/>
  <c r="G30" i="1"/>
  <c r="G40" i="1" s="1"/>
  <c r="D142" i="1" s="1"/>
  <c r="D30" i="1"/>
  <c r="D40" i="1" s="1"/>
  <c r="D67" i="1" s="1"/>
  <c r="E66" i="1"/>
  <c r="F66" i="1" s="1"/>
  <c r="G66" i="1" s="1"/>
  <c r="H66" i="1" s="1"/>
  <c r="I66" i="1" s="1"/>
  <c r="J66" i="1" s="1"/>
  <c r="K66" i="1" s="1"/>
  <c r="L66" i="1" s="1"/>
  <c r="M66" i="1" s="1"/>
  <c r="N66" i="1" s="1"/>
  <c r="O66" i="1" s="1"/>
  <c r="P66" i="1" s="1"/>
  <c r="Q66" i="1" s="1"/>
  <c r="R66" i="1" s="1"/>
  <c r="S66" i="1" s="1"/>
  <c r="S91" i="1" s="1"/>
  <c r="S116" i="1" s="1"/>
  <c r="S141" i="1" s="1"/>
  <c r="B43" i="1"/>
  <c r="B69" i="1" s="1"/>
  <c r="B94" i="1" s="1"/>
  <c r="B119" i="1" s="1"/>
  <c r="B144" i="1" s="1"/>
  <c r="B44" i="1"/>
  <c r="B70" i="1" s="1"/>
  <c r="B95" i="1" s="1"/>
  <c r="B120" i="1" s="1"/>
  <c r="B145" i="1" s="1"/>
  <c r="B45" i="1"/>
  <c r="B71" i="1" s="1"/>
  <c r="B96" i="1" s="1"/>
  <c r="B121" i="1" s="1"/>
  <c r="B146" i="1" s="1"/>
  <c r="B46" i="1"/>
  <c r="B72" i="1" s="1"/>
  <c r="B97" i="1" s="1"/>
  <c r="B122" i="1" s="1"/>
  <c r="B147" i="1" s="1"/>
  <c r="B47" i="1"/>
  <c r="B73" i="1" s="1"/>
  <c r="B98" i="1" s="1"/>
  <c r="B123" i="1" s="1"/>
  <c r="B148" i="1" s="1"/>
  <c r="B48" i="1"/>
  <c r="B74" i="1" s="1"/>
  <c r="B99" i="1" s="1"/>
  <c r="B124" i="1" s="1"/>
  <c r="B149" i="1" s="1"/>
  <c r="B49" i="1"/>
  <c r="B75" i="1" s="1"/>
  <c r="B100" i="1" s="1"/>
  <c r="B125" i="1" s="1"/>
  <c r="B150" i="1" s="1"/>
  <c r="B50" i="1"/>
  <c r="B76" i="1" s="1"/>
  <c r="B101" i="1" s="1"/>
  <c r="B126" i="1" s="1"/>
  <c r="B151" i="1" s="1"/>
  <c r="B51" i="1"/>
  <c r="B77" i="1" s="1"/>
  <c r="B102" i="1" s="1"/>
  <c r="B127" i="1" s="1"/>
  <c r="B152" i="1" s="1"/>
  <c r="B52" i="1"/>
  <c r="B78" i="1" s="1"/>
  <c r="B103" i="1" s="1"/>
  <c r="B128" i="1" s="1"/>
  <c r="B153" i="1" s="1"/>
  <c r="B54" i="1"/>
  <c r="B81" i="1" s="1"/>
  <c r="B106" i="1" s="1"/>
  <c r="B131" i="1" s="1"/>
  <c r="B156" i="1" s="1"/>
  <c r="B55" i="1"/>
  <c r="B82" i="1" s="1"/>
  <c r="B107" i="1" s="1"/>
  <c r="B132" i="1" s="1"/>
  <c r="B157" i="1" s="1"/>
  <c r="B56" i="1"/>
  <c r="B83" i="1" s="1"/>
  <c r="B108" i="1" s="1"/>
  <c r="B133" i="1" s="1"/>
  <c r="B158" i="1" s="1"/>
  <c r="B57" i="1"/>
  <c r="B84" i="1" s="1"/>
  <c r="B109" i="1" s="1"/>
  <c r="B134" i="1" s="1"/>
  <c r="B159" i="1" s="1"/>
  <c r="B58" i="1"/>
  <c r="B85" i="1" s="1"/>
  <c r="B110" i="1" s="1"/>
  <c r="B135" i="1" s="1"/>
  <c r="B160" i="1" s="1"/>
  <c r="B59" i="1"/>
  <c r="B86" i="1" s="1"/>
  <c r="B111" i="1" s="1"/>
  <c r="B136" i="1" s="1"/>
  <c r="B161" i="1" s="1"/>
  <c r="B60" i="1"/>
  <c r="B87" i="1" s="1"/>
  <c r="B112" i="1" s="1"/>
  <c r="B137" i="1" s="1"/>
  <c r="B162" i="1" s="1"/>
  <c r="B42" i="1"/>
  <c r="B68" i="1" s="1"/>
  <c r="B93" i="1" s="1"/>
  <c r="B118" i="1" s="1"/>
  <c r="B143" i="1" s="1"/>
  <c r="CX10" i="6" l="1"/>
  <c r="CX20" i="6"/>
  <c r="C136" i="1"/>
  <c r="C135" i="1"/>
  <c r="C125" i="1"/>
  <c r="C137" i="1"/>
  <c r="C134" i="1"/>
  <c r="C124" i="1"/>
  <c r="C126" i="1"/>
  <c r="C133" i="1"/>
  <c r="C123" i="1"/>
  <c r="C132" i="1"/>
  <c r="C122" i="1"/>
  <c r="C119" i="1"/>
  <c r="C118" i="1"/>
  <c r="C131" i="1"/>
  <c r="C121" i="1"/>
  <c r="C127" i="1"/>
  <c r="C120" i="1"/>
  <c r="BX22" i="6"/>
  <c r="BZ23" i="6"/>
  <c r="BX28" i="6"/>
  <c r="BZ28" i="6" s="1"/>
  <c r="BZ27" i="6"/>
  <c r="P91" i="1"/>
  <c r="P116" i="1" s="1"/>
  <c r="P141" i="1" s="1"/>
  <c r="N91" i="1"/>
  <c r="N116" i="1" s="1"/>
  <c r="N141" i="1" s="1"/>
  <c r="L91" i="1"/>
  <c r="L116" i="1" s="1"/>
  <c r="L141" i="1" s="1"/>
  <c r="H91" i="1"/>
  <c r="H116" i="1" s="1"/>
  <c r="H141" i="1" s="1"/>
  <c r="F91" i="1"/>
  <c r="F116" i="1" s="1"/>
  <c r="F141" i="1" s="1"/>
  <c r="K91" i="1"/>
  <c r="K116" i="1" s="1"/>
  <c r="K141" i="1" s="1"/>
  <c r="R91" i="1"/>
  <c r="R116" i="1" s="1"/>
  <c r="R141" i="1" s="1"/>
  <c r="J91" i="1"/>
  <c r="J116" i="1" s="1"/>
  <c r="J141" i="1" s="1"/>
  <c r="Q91" i="1"/>
  <c r="Q116" i="1" s="1"/>
  <c r="Q141" i="1" s="1"/>
  <c r="I91" i="1"/>
  <c r="I116" i="1" s="1"/>
  <c r="I141" i="1" s="1"/>
  <c r="O91" i="1"/>
  <c r="O116" i="1" s="1"/>
  <c r="O141" i="1" s="1"/>
  <c r="G91" i="1"/>
  <c r="G116" i="1" s="1"/>
  <c r="G141" i="1" s="1"/>
  <c r="M91" i="1"/>
  <c r="M116" i="1" s="1"/>
  <c r="M141" i="1" s="1"/>
  <c r="E91" i="1"/>
  <c r="E116" i="1" s="1"/>
  <c r="E141" i="1" s="1"/>
  <c r="C152" i="1" l="1"/>
  <c r="C144" i="1"/>
  <c r="C158" i="1"/>
  <c r="C162" i="1"/>
  <c r="C146" i="1"/>
  <c r="C147" i="1"/>
  <c r="C151" i="1"/>
  <c r="C150" i="1"/>
  <c r="C156" i="1"/>
  <c r="C157" i="1"/>
  <c r="C149" i="1"/>
  <c r="C160" i="1"/>
  <c r="C145" i="1"/>
  <c r="C143" i="1"/>
  <c r="C148" i="1"/>
  <c r="C159" i="1"/>
  <c r="C161" i="1"/>
  <c r="BX21" i="6"/>
  <c r="BZ22" i="6"/>
  <c r="B79" i="6"/>
  <c r="B77" i="6"/>
  <c r="B76" i="6"/>
  <c r="B75" i="6"/>
  <c r="B74" i="6"/>
  <c r="B73" i="6"/>
  <c r="Z35" i="6"/>
  <c r="Z34" i="6"/>
  <c r="Z33" i="6"/>
  <c r="Z32" i="6"/>
  <c r="Z31" i="6"/>
  <c r="BR30" i="6"/>
  <c r="BJ30" i="6" s="1"/>
  <c r="Z30" i="6"/>
  <c r="BQ29" i="6"/>
  <c r="BP29" i="6"/>
  <c r="BO29" i="6"/>
  <c r="BN29" i="6"/>
  <c r="BM29" i="6"/>
  <c r="BL29" i="6"/>
  <c r="BK29" i="6"/>
  <c r="BJ29" i="6"/>
  <c r="AU29" i="6"/>
  <c r="AT29" i="6"/>
  <c r="AO29" i="6"/>
  <c r="AN29" i="6"/>
  <c r="AI29" i="6"/>
  <c r="AH29" i="6"/>
  <c r="AC29" i="6"/>
  <c r="AB29" i="6"/>
  <c r="U29" i="6"/>
  <c r="AZ29" i="6" s="1"/>
  <c r="T29" i="6"/>
  <c r="AY29" i="6" s="1"/>
  <c r="P29" i="6"/>
  <c r="O29" i="6"/>
  <c r="K29" i="6"/>
  <c r="J29" i="6"/>
  <c r="D29" i="6"/>
  <c r="C29" i="6"/>
  <c r="B29" i="6"/>
  <c r="B30" i="6" s="1"/>
  <c r="B31" i="6" s="1"/>
  <c r="B32" i="6" s="1"/>
  <c r="B33" i="6" s="1"/>
  <c r="B34" i="6" s="1"/>
  <c r="B35" i="6" s="1"/>
  <c r="BQ28" i="6"/>
  <c r="BP28" i="6"/>
  <c r="BO28" i="6"/>
  <c r="BN28" i="6"/>
  <c r="BM28" i="6"/>
  <c r="BL28" i="6"/>
  <c r="BK28" i="6"/>
  <c r="BJ28" i="6"/>
  <c r="AU28" i="6"/>
  <c r="AT28" i="6"/>
  <c r="AO28" i="6"/>
  <c r="AN28" i="6"/>
  <c r="AI28" i="6"/>
  <c r="AH28" i="6"/>
  <c r="AC28" i="6"/>
  <c r="AB28" i="6"/>
  <c r="U28" i="6"/>
  <c r="AZ28" i="6" s="1"/>
  <c r="T28" i="6"/>
  <c r="P28" i="6"/>
  <c r="O28" i="6"/>
  <c r="K28" i="6"/>
  <c r="J28" i="6"/>
  <c r="D28" i="6"/>
  <c r="C28" i="6"/>
  <c r="B28" i="6"/>
  <c r="BQ27" i="6"/>
  <c r="BP27" i="6"/>
  <c r="BO27" i="6"/>
  <c r="BN27" i="6"/>
  <c r="BM27" i="6"/>
  <c r="BL27" i="6"/>
  <c r="BK27" i="6"/>
  <c r="BJ27" i="6"/>
  <c r="AU27" i="6"/>
  <c r="AT27" i="6"/>
  <c r="AO27" i="6"/>
  <c r="AN27" i="6"/>
  <c r="AI27" i="6"/>
  <c r="AH27" i="6"/>
  <c r="AC27" i="6"/>
  <c r="AB27" i="6"/>
  <c r="U27" i="6"/>
  <c r="AZ27" i="6" s="1"/>
  <c r="T27" i="6"/>
  <c r="AY27" i="6" s="1"/>
  <c r="P27" i="6"/>
  <c r="O27" i="6"/>
  <c r="K27" i="6"/>
  <c r="J27" i="6"/>
  <c r="D27" i="6"/>
  <c r="C27" i="6"/>
  <c r="BS27" i="6" s="1"/>
  <c r="B27" i="6"/>
  <c r="BQ26" i="6"/>
  <c r="BP26" i="6"/>
  <c r="BO26" i="6"/>
  <c r="BN26" i="6"/>
  <c r="BM26" i="6"/>
  <c r="BL26" i="6"/>
  <c r="BK26" i="6"/>
  <c r="BJ26" i="6"/>
  <c r="AU26" i="6"/>
  <c r="AT26" i="6"/>
  <c r="AO26" i="6"/>
  <c r="AN26" i="6"/>
  <c r="AI26" i="6"/>
  <c r="AH26" i="6"/>
  <c r="AC26" i="6"/>
  <c r="AB26" i="6"/>
  <c r="U26" i="6"/>
  <c r="T26" i="6"/>
  <c r="P26" i="6"/>
  <c r="O26" i="6"/>
  <c r="K26" i="6"/>
  <c r="J26" i="6"/>
  <c r="D26" i="6"/>
  <c r="C26" i="6"/>
  <c r="B26" i="6"/>
  <c r="BQ25" i="6"/>
  <c r="BP25" i="6"/>
  <c r="BO25" i="6"/>
  <c r="BN25" i="6"/>
  <c r="BM25" i="6"/>
  <c r="BL25" i="6"/>
  <c r="BK25" i="6"/>
  <c r="BJ25" i="6"/>
  <c r="AU25" i="6"/>
  <c r="AT25" i="6"/>
  <c r="AO25" i="6"/>
  <c r="AN25" i="6"/>
  <c r="AI25" i="6"/>
  <c r="AH25" i="6"/>
  <c r="AC25" i="6"/>
  <c r="AB25" i="6"/>
  <c r="U25" i="6"/>
  <c r="AZ25" i="6" s="1"/>
  <c r="T25" i="6"/>
  <c r="BD25" i="6" s="1"/>
  <c r="P25" i="6"/>
  <c r="O25" i="6"/>
  <c r="K25" i="6"/>
  <c r="J25" i="6"/>
  <c r="D25" i="6"/>
  <c r="C25" i="6"/>
  <c r="H25" i="6" s="1"/>
  <c r="I25" i="6" s="1"/>
  <c r="B25" i="6"/>
  <c r="BQ24" i="6"/>
  <c r="BP24" i="6"/>
  <c r="BO24" i="6"/>
  <c r="BN24" i="6"/>
  <c r="BM24" i="6"/>
  <c r="BL24" i="6"/>
  <c r="BK24" i="6"/>
  <c r="BJ24" i="6"/>
  <c r="AU24" i="6"/>
  <c r="AT24" i="6"/>
  <c r="AO24" i="6"/>
  <c r="AN24" i="6"/>
  <c r="AI24" i="6"/>
  <c r="AH24" i="6"/>
  <c r="AC24" i="6"/>
  <c r="AB24" i="6"/>
  <c r="U24" i="6"/>
  <c r="AZ24" i="6" s="1"/>
  <c r="T24" i="6"/>
  <c r="P24" i="6"/>
  <c r="O24" i="6"/>
  <c r="K24" i="6"/>
  <c r="J24" i="6"/>
  <c r="D24" i="6"/>
  <c r="C24" i="6"/>
  <c r="B24" i="6"/>
  <c r="BQ23" i="6"/>
  <c r="BP23" i="6"/>
  <c r="BO23" i="6"/>
  <c r="BN23" i="6"/>
  <c r="BM23" i="6"/>
  <c r="BL23" i="6"/>
  <c r="BK23" i="6"/>
  <c r="BJ23" i="6"/>
  <c r="AU23" i="6"/>
  <c r="AT23" i="6"/>
  <c r="AO23" i="6"/>
  <c r="AN23" i="6"/>
  <c r="AI23" i="6"/>
  <c r="AH23" i="6"/>
  <c r="AC23" i="6"/>
  <c r="AB23" i="6"/>
  <c r="U23" i="6"/>
  <c r="AZ23" i="6" s="1"/>
  <c r="T23" i="6"/>
  <c r="P23" i="6"/>
  <c r="O23" i="6"/>
  <c r="K23" i="6"/>
  <c r="J23" i="6"/>
  <c r="D23" i="6"/>
  <c r="C23" i="6"/>
  <c r="B23" i="6"/>
  <c r="BQ22" i="6"/>
  <c r="BP22" i="6"/>
  <c r="BO22" i="6"/>
  <c r="BN22" i="6"/>
  <c r="BM22" i="6"/>
  <c r="BL22" i="6"/>
  <c r="BK22" i="6"/>
  <c r="BJ22" i="6"/>
  <c r="AU22" i="6"/>
  <c r="AT22" i="6"/>
  <c r="AO22" i="6"/>
  <c r="AN22" i="6"/>
  <c r="AI22" i="6"/>
  <c r="AH22" i="6"/>
  <c r="AC22" i="6"/>
  <c r="AB22" i="6"/>
  <c r="U22" i="6"/>
  <c r="AZ22" i="6" s="1"/>
  <c r="T22" i="6"/>
  <c r="P22" i="6"/>
  <c r="O22" i="6"/>
  <c r="K22" i="6"/>
  <c r="J22" i="6"/>
  <c r="D22" i="6"/>
  <c r="C22" i="6"/>
  <c r="B22" i="6"/>
  <c r="BQ21" i="6"/>
  <c r="BP21" i="6"/>
  <c r="BO21" i="6"/>
  <c r="BN21" i="6"/>
  <c r="BM21" i="6"/>
  <c r="BL21" i="6"/>
  <c r="BK21" i="6"/>
  <c r="BJ21" i="6"/>
  <c r="AU21" i="6"/>
  <c r="AT21" i="6"/>
  <c r="AO21" i="6"/>
  <c r="AN21" i="6"/>
  <c r="AI21" i="6"/>
  <c r="AH21" i="6"/>
  <c r="AC21" i="6"/>
  <c r="AB21" i="6"/>
  <c r="U21" i="6"/>
  <c r="AZ21" i="6" s="1"/>
  <c r="T21" i="6"/>
  <c r="P21" i="6"/>
  <c r="O21" i="6"/>
  <c r="K21" i="6"/>
  <c r="J21" i="6"/>
  <c r="D21" i="6"/>
  <c r="C21" i="6"/>
  <c r="B21" i="6"/>
  <c r="BQ20" i="6"/>
  <c r="BP20" i="6"/>
  <c r="BO20" i="6"/>
  <c r="BN20" i="6"/>
  <c r="BM20" i="6"/>
  <c r="BL20" i="6"/>
  <c r="BK20" i="6"/>
  <c r="BJ20" i="6"/>
  <c r="AU20" i="6"/>
  <c r="AT20" i="6"/>
  <c r="AO20" i="6"/>
  <c r="AN20" i="6"/>
  <c r="AI20" i="6"/>
  <c r="AH20" i="6"/>
  <c r="AC20" i="6"/>
  <c r="AB20" i="6"/>
  <c r="U20" i="6"/>
  <c r="AZ20" i="6" s="1"/>
  <c r="T20" i="6"/>
  <c r="P20" i="6"/>
  <c r="O20" i="6"/>
  <c r="K20" i="6"/>
  <c r="J20" i="6"/>
  <c r="D20" i="6"/>
  <c r="C20" i="6"/>
  <c r="B20" i="6"/>
  <c r="BQ19" i="6"/>
  <c r="BP19" i="6"/>
  <c r="BO19" i="6"/>
  <c r="BN19" i="6"/>
  <c r="BM19" i="6"/>
  <c r="BL19" i="6"/>
  <c r="BK19" i="6"/>
  <c r="BJ19" i="6"/>
  <c r="AU19" i="6"/>
  <c r="AT19" i="6"/>
  <c r="AO19" i="6"/>
  <c r="AN19" i="6"/>
  <c r="AI19" i="6"/>
  <c r="AH19" i="6"/>
  <c r="AC19" i="6"/>
  <c r="AB19" i="6"/>
  <c r="U19" i="6"/>
  <c r="AZ19" i="6" s="1"/>
  <c r="T19" i="6"/>
  <c r="P19" i="6"/>
  <c r="O19" i="6"/>
  <c r="K19" i="6"/>
  <c r="J19" i="6"/>
  <c r="D19" i="6"/>
  <c r="C19" i="6"/>
  <c r="B19" i="6"/>
  <c r="BQ18" i="6"/>
  <c r="BP18" i="6"/>
  <c r="BO18" i="6"/>
  <c r="BN18" i="6"/>
  <c r="BM18" i="6"/>
  <c r="BL18" i="6"/>
  <c r="BK18" i="6"/>
  <c r="BJ18" i="6"/>
  <c r="AU18" i="6"/>
  <c r="AT18" i="6"/>
  <c r="AO18" i="6"/>
  <c r="AN18" i="6"/>
  <c r="AI18" i="6"/>
  <c r="AH18" i="6"/>
  <c r="AC18" i="6"/>
  <c r="AB18" i="6"/>
  <c r="U18" i="6"/>
  <c r="T18" i="6"/>
  <c r="AY18" i="6" s="1"/>
  <c r="P18" i="6"/>
  <c r="O18" i="6"/>
  <c r="K18" i="6"/>
  <c r="J18" i="6"/>
  <c r="D18" i="6"/>
  <c r="C18" i="6"/>
  <c r="B18" i="6"/>
  <c r="BQ17" i="6"/>
  <c r="BP17" i="6"/>
  <c r="BO17" i="6"/>
  <c r="BN17" i="6"/>
  <c r="BM17" i="6"/>
  <c r="BL17" i="6"/>
  <c r="BK17" i="6"/>
  <c r="BJ17" i="6"/>
  <c r="AU17" i="6"/>
  <c r="AT17" i="6"/>
  <c r="AO17" i="6"/>
  <c r="AN17" i="6"/>
  <c r="AI17" i="6"/>
  <c r="AH17" i="6"/>
  <c r="AC17" i="6"/>
  <c r="AB17" i="6"/>
  <c r="U17" i="6"/>
  <c r="T17" i="6"/>
  <c r="AY17" i="6" s="1"/>
  <c r="P17" i="6"/>
  <c r="O17" i="6"/>
  <c r="Q17" i="6" s="1"/>
  <c r="K17" i="6"/>
  <c r="J17" i="6"/>
  <c r="D17" i="6"/>
  <c r="C17" i="6"/>
  <c r="B17" i="6"/>
  <c r="BQ16" i="6"/>
  <c r="BP16" i="6"/>
  <c r="BO16" i="6"/>
  <c r="BN16" i="6"/>
  <c r="BM16" i="6"/>
  <c r="BL16" i="6"/>
  <c r="BK16" i="6"/>
  <c r="BJ16" i="6"/>
  <c r="AU16" i="6"/>
  <c r="AT16" i="6"/>
  <c r="AO16" i="6"/>
  <c r="AN16" i="6"/>
  <c r="AI16" i="6"/>
  <c r="AH16" i="6"/>
  <c r="AC16" i="6"/>
  <c r="AB16" i="6"/>
  <c r="U16" i="6"/>
  <c r="AZ16" i="6" s="1"/>
  <c r="T16" i="6"/>
  <c r="P16" i="6"/>
  <c r="O16" i="6"/>
  <c r="K16" i="6"/>
  <c r="J16" i="6"/>
  <c r="D16" i="6"/>
  <c r="C16" i="6"/>
  <c r="B16" i="6"/>
  <c r="BQ15" i="6"/>
  <c r="BP15" i="6"/>
  <c r="BO15" i="6"/>
  <c r="BN15" i="6"/>
  <c r="BM15" i="6"/>
  <c r="BL15" i="6"/>
  <c r="BK15" i="6"/>
  <c r="BJ15" i="6"/>
  <c r="AU15" i="6"/>
  <c r="AT15" i="6"/>
  <c r="AV15" i="6" s="1"/>
  <c r="AO15" i="6"/>
  <c r="AN15" i="6"/>
  <c r="AI15" i="6"/>
  <c r="AH15" i="6"/>
  <c r="AC15" i="6"/>
  <c r="AB15" i="6"/>
  <c r="U15" i="6"/>
  <c r="AZ15" i="6" s="1"/>
  <c r="T15" i="6"/>
  <c r="AY15" i="6" s="1"/>
  <c r="P15" i="6"/>
  <c r="O15" i="6"/>
  <c r="K15" i="6"/>
  <c r="J15" i="6"/>
  <c r="D15" i="6"/>
  <c r="C15" i="6"/>
  <c r="B15" i="6"/>
  <c r="BQ14" i="6"/>
  <c r="BP14" i="6"/>
  <c r="BO14" i="6"/>
  <c r="BN14" i="6"/>
  <c r="BM14" i="6"/>
  <c r="BL14" i="6"/>
  <c r="BK14" i="6"/>
  <c r="BJ14" i="6"/>
  <c r="AU14" i="6"/>
  <c r="AT14" i="6"/>
  <c r="AO14" i="6"/>
  <c r="AN14" i="6"/>
  <c r="AI14" i="6"/>
  <c r="AH14" i="6"/>
  <c r="AC14" i="6"/>
  <c r="AB14" i="6"/>
  <c r="U14" i="6"/>
  <c r="AZ14" i="6" s="1"/>
  <c r="T14" i="6"/>
  <c r="P14" i="6"/>
  <c r="O14" i="6"/>
  <c r="K14" i="6"/>
  <c r="J14" i="6"/>
  <c r="D14" i="6"/>
  <c r="C14" i="6"/>
  <c r="B14" i="6"/>
  <c r="BQ13" i="6"/>
  <c r="BP13" i="6"/>
  <c r="BO13" i="6"/>
  <c r="BN13" i="6"/>
  <c r="BM13" i="6"/>
  <c r="BL13" i="6"/>
  <c r="BK13" i="6"/>
  <c r="BJ13" i="6"/>
  <c r="AU13" i="6"/>
  <c r="AT13" i="6"/>
  <c r="AO13" i="6"/>
  <c r="AN13" i="6"/>
  <c r="AI13" i="6"/>
  <c r="AH13" i="6"/>
  <c r="AC13" i="6"/>
  <c r="AB13" i="6"/>
  <c r="U13" i="6"/>
  <c r="AZ13" i="6" s="1"/>
  <c r="T13" i="6"/>
  <c r="P13" i="6"/>
  <c r="O13" i="6"/>
  <c r="K13" i="6"/>
  <c r="J13" i="6"/>
  <c r="D13" i="6"/>
  <c r="C13" i="6"/>
  <c r="BS13" i="6" s="1"/>
  <c r="B13" i="6"/>
  <c r="BQ12" i="6"/>
  <c r="BP12" i="6"/>
  <c r="BO12" i="6"/>
  <c r="BN12" i="6"/>
  <c r="BM12" i="6"/>
  <c r="BL12" i="6"/>
  <c r="BK12" i="6"/>
  <c r="BJ12" i="6"/>
  <c r="AU12" i="6"/>
  <c r="AT12" i="6"/>
  <c r="AO12" i="6"/>
  <c r="AN12" i="6"/>
  <c r="AI12" i="6"/>
  <c r="AH12" i="6"/>
  <c r="AC12" i="6"/>
  <c r="AB12" i="6"/>
  <c r="U12" i="6"/>
  <c r="AZ12" i="6" s="1"/>
  <c r="T12" i="6"/>
  <c r="P12" i="6"/>
  <c r="O12" i="6"/>
  <c r="K12" i="6"/>
  <c r="J12" i="6"/>
  <c r="D12" i="6"/>
  <c r="C12" i="6"/>
  <c r="BS12" i="6" s="1"/>
  <c r="B12" i="6"/>
  <c r="BQ11" i="6"/>
  <c r="BP11" i="6"/>
  <c r="BO11" i="6"/>
  <c r="BN11" i="6"/>
  <c r="BM11" i="6"/>
  <c r="BL11" i="6"/>
  <c r="BK11" i="6"/>
  <c r="BJ11" i="6"/>
  <c r="AU11" i="6"/>
  <c r="AT11" i="6"/>
  <c r="AO11" i="6"/>
  <c r="AN11" i="6"/>
  <c r="AI11" i="6"/>
  <c r="AH11" i="6"/>
  <c r="AC11" i="6"/>
  <c r="AB11" i="6"/>
  <c r="U11" i="6"/>
  <c r="AZ11" i="6" s="1"/>
  <c r="T11" i="6"/>
  <c r="AY11" i="6" s="1"/>
  <c r="P11" i="6"/>
  <c r="O11" i="6"/>
  <c r="K11" i="6"/>
  <c r="J11" i="6"/>
  <c r="D11" i="6"/>
  <c r="C11" i="6"/>
  <c r="B11" i="6"/>
  <c r="BQ10" i="6"/>
  <c r="BP10" i="6"/>
  <c r="BO10" i="6"/>
  <c r="BN10" i="6"/>
  <c r="BM10" i="6"/>
  <c r="BL10" i="6"/>
  <c r="BK10" i="6"/>
  <c r="BJ10" i="6"/>
  <c r="AU10" i="6"/>
  <c r="AT10" i="6"/>
  <c r="AO10" i="6"/>
  <c r="AN10" i="6"/>
  <c r="AI10" i="6"/>
  <c r="AH10" i="6"/>
  <c r="AC10" i="6"/>
  <c r="AB10" i="6"/>
  <c r="U10" i="6"/>
  <c r="AZ10" i="6" s="1"/>
  <c r="T10" i="6"/>
  <c r="AY10" i="6" s="1"/>
  <c r="P10" i="6"/>
  <c r="O10" i="6"/>
  <c r="K10" i="6"/>
  <c r="J10" i="6"/>
  <c r="D10" i="6"/>
  <c r="C10" i="6"/>
  <c r="B10" i="6"/>
  <c r="BQ9" i="6"/>
  <c r="BP9" i="6"/>
  <c r="BO9" i="6"/>
  <c r="BN9" i="6"/>
  <c r="BM9" i="6"/>
  <c r="BL9" i="6"/>
  <c r="BK9" i="6"/>
  <c r="BJ9" i="6"/>
  <c r="AU9" i="6"/>
  <c r="AT9" i="6"/>
  <c r="AO9" i="6"/>
  <c r="AN9" i="6"/>
  <c r="AI9" i="6"/>
  <c r="AH9" i="6"/>
  <c r="AC9" i="6"/>
  <c r="AB9" i="6"/>
  <c r="U9" i="6"/>
  <c r="AZ9" i="6" s="1"/>
  <c r="T9" i="6"/>
  <c r="P9" i="6"/>
  <c r="O9" i="6"/>
  <c r="K9" i="6"/>
  <c r="J9" i="6"/>
  <c r="D9" i="6"/>
  <c r="C9" i="6"/>
  <c r="B9" i="6"/>
  <c r="BQ8" i="6"/>
  <c r="BP8" i="6"/>
  <c r="BO8" i="6"/>
  <c r="BN8" i="6"/>
  <c r="BM8" i="6"/>
  <c r="BL8" i="6"/>
  <c r="BK8" i="6"/>
  <c r="BJ8" i="6"/>
  <c r="AU8" i="6"/>
  <c r="AT8" i="6"/>
  <c r="AO8" i="6"/>
  <c r="AN8" i="6"/>
  <c r="AI8" i="6"/>
  <c r="AH8" i="6"/>
  <c r="AC8" i="6"/>
  <c r="AB8" i="6"/>
  <c r="U8" i="6"/>
  <c r="AZ8" i="6" s="1"/>
  <c r="T8" i="6"/>
  <c r="P8" i="6"/>
  <c r="O8" i="6"/>
  <c r="K8" i="6"/>
  <c r="J8" i="6"/>
  <c r="D8" i="6"/>
  <c r="C8" i="6"/>
  <c r="B8" i="6"/>
  <c r="BQ7" i="6"/>
  <c r="BP7" i="6"/>
  <c r="BO7" i="6"/>
  <c r="BN7" i="6"/>
  <c r="BM7" i="6"/>
  <c r="BL7" i="6"/>
  <c r="BK7" i="6"/>
  <c r="BJ7" i="6"/>
  <c r="AU7" i="6"/>
  <c r="AT7" i="6"/>
  <c r="AO7" i="6"/>
  <c r="AN7" i="6"/>
  <c r="AI7" i="6"/>
  <c r="AH7" i="6"/>
  <c r="AC7" i="6"/>
  <c r="AB7" i="6"/>
  <c r="U7" i="6"/>
  <c r="AZ7" i="6" s="1"/>
  <c r="T7" i="6"/>
  <c r="AY7" i="6" s="1"/>
  <c r="P7" i="6"/>
  <c r="O7" i="6"/>
  <c r="K7" i="6"/>
  <c r="J7" i="6"/>
  <c r="D7" i="6"/>
  <c r="C7" i="6"/>
  <c r="B7" i="6"/>
  <c r="BQ6" i="6"/>
  <c r="BP6" i="6"/>
  <c r="BO6" i="6"/>
  <c r="BN6" i="6"/>
  <c r="BM6" i="6"/>
  <c r="BL6" i="6"/>
  <c r="BK6" i="6"/>
  <c r="BJ6" i="6"/>
  <c r="AU6" i="6"/>
  <c r="AT6" i="6"/>
  <c r="AO6" i="6"/>
  <c r="AN6" i="6"/>
  <c r="AI6" i="6"/>
  <c r="AH6" i="6"/>
  <c r="AC6" i="6"/>
  <c r="AB6" i="6"/>
  <c r="U6" i="6"/>
  <c r="AZ6" i="6" s="1"/>
  <c r="T6" i="6"/>
  <c r="P6" i="6"/>
  <c r="O6" i="6"/>
  <c r="K6" i="6"/>
  <c r="J6" i="6"/>
  <c r="D6" i="6"/>
  <c r="C6" i="6"/>
  <c r="B6" i="6"/>
  <c r="BQ5" i="6"/>
  <c r="BP5" i="6"/>
  <c r="BO5" i="6"/>
  <c r="BN5" i="6"/>
  <c r="BM5" i="6"/>
  <c r="BL5" i="6"/>
  <c r="BK5" i="6"/>
  <c r="BJ5" i="6"/>
  <c r="AT5" i="6"/>
  <c r="AN5" i="6"/>
  <c r="AH5" i="6"/>
  <c r="AB5" i="6"/>
  <c r="T5" i="6"/>
  <c r="AY5" i="6" s="1"/>
  <c r="P5" i="6"/>
  <c r="O5" i="6"/>
  <c r="J5" i="6"/>
  <c r="C5" i="6"/>
  <c r="B5" i="6"/>
  <c r="AB4" i="6"/>
  <c r="AH4" i="6" s="1"/>
  <c r="AN4" i="6" s="1"/>
  <c r="AT4" i="6" s="1"/>
  <c r="AY4" i="6" s="1"/>
  <c r="T4" i="6"/>
  <c r="O4" i="6"/>
  <c r="J4" i="6"/>
  <c r="C4" i="6"/>
  <c r="AF3" i="6"/>
  <c r="AE3" i="6"/>
  <c r="AK3" i="6" s="1"/>
  <c r="AQ3" i="6" s="1"/>
  <c r="AW3" i="6" s="1"/>
  <c r="BB3" i="6" s="1"/>
  <c r="BX3" i="6" s="1"/>
  <c r="CD3" i="6" s="1"/>
  <c r="CJ3" i="6" s="1"/>
  <c r="CP3" i="6" s="1"/>
  <c r="CV3" i="6" s="1"/>
  <c r="AD3" i="6"/>
  <c r="AC3" i="6"/>
  <c r="AB3" i="6"/>
  <c r="AH3" i="6" s="1"/>
  <c r="AN3" i="6" s="1"/>
  <c r="AT3" i="6" s="1"/>
  <c r="AY3" i="6" s="1"/>
  <c r="BU3" i="6" s="1"/>
  <c r="CA3" i="6" s="1"/>
  <c r="CG3" i="6" s="1"/>
  <c r="CM3" i="6" s="1"/>
  <c r="CS3" i="6" s="1"/>
  <c r="S3" i="6"/>
  <c r="X3" i="6" s="1"/>
  <c r="R3" i="6"/>
  <c r="W3" i="6" s="1"/>
  <c r="Q3" i="6"/>
  <c r="V3" i="6" s="1"/>
  <c r="P3" i="6"/>
  <c r="U3" i="6" s="1"/>
  <c r="O3" i="6"/>
  <c r="T3" i="6" s="1"/>
  <c r="N3" i="6"/>
  <c r="M3" i="6"/>
  <c r="L3" i="6"/>
  <c r="K3" i="6"/>
  <c r="J3" i="6"/>
  <c r="AT2" i="6"/>
  <c r="AN2" i="6"/>
  <c r="AH2" i="6"/>
  <c r="AB2" i="6"/>
  <c r="O2" i="6"/>
  <c r="J2" i="6"/>
  <c r="C2" i="6"/>
  <c r="AV7" i="6" l="1"/>
  <c r="AJ6" i="6"/>
  <c r="Z27" i="6"/>
  <c r="L7" i="6"/>
  <c r="AP13" i="6"/>
  <c r="L23" i="6"/>
  <c r="AV27" i="6"/>
  <c r="AV21" i="6"/>
  <c r="AI3" i="6"/>
  <c r="AO3" i="6" s="1"/>
  <c r="AU3" i="6" s="1"/>
  <c r="AZ3" i="6" s="1"/>
  <c r="BV3" i="6" s="1"/>
  <c r="CB3" i="6" s="1"/>
  <c r="CH3" i="6" s="1"/>
  <c r="CN3" i="6" s="1"/>
  <c r="CT3" i="6" s="1"/>
  <c r="AJ3" i="6"/>
  <c r="AP3" i="6" s="1"/>
  <c r="AV3" i="6" s="1"/>
  <c r="BA3" i="6" s="1"/>
  <c r="BW3" i="6" s="1"/>
  <c r="CC3" i="6" s="1"/>
  <c r="CI3" i="6" s="1"/>
  <c r="CO3" i="6" s="1"/>
  <c r="CU3" i="6" s="1"/>
  <c r="Y11" i="6"/>
  <c r="Y19" i="6"/>
  <c r="AS25" i="6"/>
  <c r="BB32" i="5" s="1"/>
  <c r="AG25" i="6"/>
  <c r="AZ32" i="5" s="1"/>
  <c r="AP27" i="6"/>
  <c r="AL3" i="6"/>
  <c r="AR3" i="6" s="1"/>
  <c r="AX3" i="6" s="1"/>
  <c r="BC3" i="6" s="1"/>
  <c r="BY3" i="6" s="1"/>
  <c r="CE3" i="6" s="1"/>
  <c r="CK3" i="6" s="1"/>
  <c r="CQ3" i="6" s="1"/>
  <c r="CW3" i="6" s="1"/>
  <c r="AM25" i="6"/>
  <c r="BA32" i="5" s="1"/>
  <c r="CR16" i="6"/>
  <c r="CR17" i="6" s="1"/>
  <c r="CR18" i="6" s="1"/>
  <c r="CR19" i="6" s="1"/>
  <c r="AP8" i="6"/>
  <c r="AJ10" i="6"/>
  <c r="AP18" i="6"/>
  <c r="Q19" i="6"/>
  <c r="Q26" i="6"/>
  <c r="R26" i="6" s="1"/>
  <c r="AP16" i="6"/>
  <c r="AP17" i="6"/>
  <c r="Y18" i="6"/>
  <c r="AP24" i="6"/>
  <c r="BS29" i="6"/>
  <c r="CR11" i="6"/>
  <c r="CR12" i="6" s="1"/>
  <c r="CR13" i="6" s="1"/>
  <c r="CR14" i="6" s="1"/>
  <c r="AD22" i="6"/>
  <c r="CR21" i="6"/>
  <c r="Y29" i="6"/>
  <c r="CR6" i="6"/>
  <c r="CR7" i="6" s="1"/>
  <c r="CR8" i="6" s="1"/>
  <c r="CR9" i="6" s="1"/>
  <c r="Q6" i="6"/>
  <c r="E10" i="6"/>
  <c r="L24" i="6"/>
  <c r="AJ24" i="6"/>
  <c r="BS19" i="6"/>
  <c r="BX20" i="6"/>
  <c r="BZ21" i="6"/>
  <c r="E13" i="6"/>
  <c r="L8" i="6"/>
  <c r="AJ8" i="6"/>
  <c r="L21" i="6"/>
  <c r="AJ21" i="6"/>
  <c r="AV25" i="6"/>
  <c r="AW24" i="6" s="1"/>
  <c r="Y10" i="6"/>
  <c r="AD12" i="6"/>
  <c r="L26" i="6"/>
  <c r="M26" i="6" s="1"/>
  <c r="N26" i="6" s="1"/>
  <c r="E21" i="6"/>
  <c r="E29" i="6"/>
  <c r="Q21" i="6"/>
  <c r="L6" i="6"/>
  <c r="Q12" i="6"/>
  <c r="AP12" i="6"/>
  <c r="E16" i="6"/>
  <c r="Q23" i="6"/>
  <c r="Z11" i="6"/>
  <c r="AJ11" i="6"/>
  <c r="AJ15" i="6"/>
  <c r="AP26" i="6"/>
  <c r="AQ26" i="6" s="1"/>
  <c r="AS26" i="6" s="1"/>
  <c r="Z6" i="6"/>
  <c r="Q11" i="6"/>
  <c r="AP15" i="6"/>
  <c r="AJ29" i="6"/>
  <c r="E9" i="6"/>
  <c r="Q10" i="6"/>
  <c r="Q24" i="6"/>
  <c r="Y27" i="6"/>
  <c r="Q28" i="6"/>
  <c r="E7" i="6"/>
  <c r="AP23" i="6"/>
  <c r="L25" i="6"/>
  <c r="M24" i="6" s="1"/>
  <c r="AJ26" i="6"/>
  <c r="AK26" i="6" s="1"/>
  <c r="AM26" i="6" s="1"/>
  <c r="AV28" i="6"/>
  <c r="V29" i="6"/>
  <c r="AV29" i="6"/>
  <c r="V9" i="6"/>
  <c r="AY9" i="6"/>
  <c r="BA9" i="6" s="1"/>
  <c r="BD14" i="6"/>
  <c r="AY14" i="6"/>
  <c r="BA14" i="6" s="1"/>
  <c r="AP14" i="6"/>
  <c r="AJ17" i="6"/>
  <c r="Z18" i="6"/>
  <c r="AJ18" i="6"/>
  <c r="BD21" i="6"/>
  <c r="AY21" i="6"/>
  <c r="BS25" i="6"/>
  <c r="BD13" i="6"/>
  <c r="AY13" i="6"/>
  <c r="Q18" i="6"/>
  <c r="N25" i="6"/>
  <c r="Z26" i="6"/>
  <c r="BD28" i="6"/>
  <c r="AY28" i="6"/>
  <c r="V8" i="6"/>
  <c r="AY8" i="6"/>
  <c r="V12" i="6"/>
  <c r="AY12" i="6"/>
  <c r="BE12" i="6" s="1"/>
  <c r="V14" i="6"/>
  <c r="V20" i="6"/>
  <c r="AY20" i="6"/>
  <c r="AV20" i="6"/>
  <c r="Z23" i="6"/>
  <c r="Y25" i="6"/>
  <c r="AV12" i="6"/>
  <c r="AD13" i="6"/>
  <c r="L15" i="6"/>
  <c r="BD19" i="6"/>
  <c r="AY19" i="6"/>
  <c r="BE19" i="6" s="1"/>
  <c r="V28" i="6"/>
  <c r="BD29" i="6"/>
  <c r="BD6" i="6"/>
  <c r="AY6" i="6"/>
  <c r="V18" i="6"/>
  <c r="AZ18" i="6"/>
  <c r="BA18" i="6" s="1"/>
  <c r="BD24" i="6"/>
  <c r="AY24" i="6"/>
  <c r="AV24" i="6"/>
  <c r="X25" i="6"/>
  <c r="BG25" i="6" s="1"/>
  <c r="AY25" i="6"/>
  <c r="BE25" i="6" s="1"/>
  <c r="BF25" i="6" s="1"/>
  <c r="BD26" i="6"/>
  <c r="AY26" i="6"/>
  <c r="Z14" i="6"/>
  <c r="V17" i="6"/>
  <c r="AZ17" i="6"/>
  <c r="V26" i="6"/>
  <c r="W26" i="6" s="1"/>
  <c r="X26" i="6" s="1"/>
  <c r="AZ26" i="6"/>
  <c r="Y28" i="6"/>
  <c r="AD28" i="6"/>
  <c r="BD5" i="6"/>
  <c r="AD7" i="6"/>
  <c r="Q9" i="6"/>
  <c r="AP9" i="6"/>
  <c r="AV10" i="6"/>
  <c r="Q14" i="6"/>
  <c r="AJ14" i="6"/>
  <c r="V16" i="6"/>
  <c r="AY16" i="6"/>
  <c r="AV16" i="6"/>
  <c r="BS17" i="6"/>
  <c r="AD17" i="6"/>
  <c r="BD17" i="6"/>
  <c r="AD19" i="6"/>
  <c r="Y20" i="6"/>
  <c r="Y21" i="6"/>
  <c r="BD22" i="6"/>
  <c r="AY22" i="6"/>
  <c r="BA22" i="6" s="1"/>
  <c r="V23" i="6"/>
  <c r="AY23" i="6"/>
  <c r="E24" i="6"/>
  <c r="BR14" i="6"/>
  <c r="BS21" i="6"/>
  <c r="V6" i="6"/>
  <c r="BS6" i="6"/>
  <c r="BR9" i="6"/>
  <c r="AV13" i="6"/>
  <c r="AD14" i="6"/>
  <c r="E17" i="6"/>
  <c r="Q20" i="6"/>
  <c r="V22" i="6"/>
  <c r="BD23" i="6"/>
  <c r="Q25" i="6"/>
  <c r="R24" i="6" s="1"/>
  <c r="AP25" i="6"/>
  <c r="AQ24" i="6" s="1"/>
  <c r="Q29" i="6"/>
  <c r="AD29" i="6"/>
  <c r="AJ7" i="6"/>
  <c r="BS9" i="6"/>
  <c r="BR16" i="6"/>
  <c r="Z20" i="6"/>
  <c r="BD20" i="6"/>
  <c r="BS22" i="6"/>
  <c r="BR23" i="6"/>
  <c r="BS24" i="6"/>
  <c r="E25" i="6"/>
  <c r="F24" i="6" s="1"/>
  <c r="Q27" i="6"/>
  <c r="Z28" i="6"/>
  <c r="Z29" i="6"/>
  <c r="AV9" i="6"/>
  <c r="L10" i="6"/>
  <c r="AD10" i="6"/>
  <c r="AP10" i="6"/>
  <c r="AV11" i="6"/>
  <c r="AJ12" i="6"/>
  <c r="V13" i="6"/>
  <c r="AJ13" i="6"/>
  <c r="E14" i="6"/>
  <c r="Z17" i="6"/>
  <c r="V21" i="6"/>
  <c r="AJ23" i="6"/>
  <c r="AV26" i="6"/>
  <c r="AW26" i="6" s="1"/>
  <c r="V10" i="6"/>
  <c r="BR15" i="6"/>
  <c r="Z21" i="6"/>
  <c r="Z25" i="6"/>
  <c r="V25" i="6"/>
  <c r="W24" i="6" s="1"/>
  <c r="BS28" i="6"/>
  <c r="E6" i="6"/>
  <c r="BD8" i="6"/>
  <c r="BR7" i="6"/>
  <c r="BS7" i="6"/>
  <c r="BR8" i="6"/>
  <c r="BR11" i="6"/>
  <c r="E12" i="6"/>
  <c r="L14" i="6"/>
  <c r="Y14" i="6"/>
  <c r="AJ20" i="6"/>
  <c r="Y23" i="6"/>
  <c r="BS14" i="6"/>
  <c r="Y5" i="6"/>
  <c r="Z9" i="6"/>
  <c r="BR10" i="6"/>
  <c r="AD11" i="6"/>
  <c r="Y12" i="6"/>
  <c r="Z13" i="6"/>
  <c r="Z16" i="6"/>
  <c r="AV18" i="6"/>
  <c r="V19" i="6"/>
  <c r="BR19" i="6"/>
  <c r="BR26" i="6"/>
  <c r="E27" i="6"/>
  <c r="AD27" i="6"/>
  <c r="E28" i="6"/>
  <c r="AJ28" i="6"/>
  <c r="BU4" i="6"/>
  <c r="CA4" i="6" s="1"/>
  <c r="CG4" i="6" s="1"/>
  <c r="CM4" i="6" s="1"/>
  <c r="CS4" i="6" s="1"/>
  <c r="BD4" i="6"/>
  <c r="BE5" i="6"/>
  <c r="AD18" i="6"/>
  <c r="Y7" i="6"/>
  <c r="AP19" i="6"/>
  <c r="AP7" i="6"/>
  <c r="AV6" i="6"/>
  <c r="Z7" i="6"/>
  <c r="Q7" i="6"/>
  <c r="BD7" i="6"/>
  <c r="V7" i="6"/>
  <c r="BS8" i="6"/>
  <c r="E8" i="6"/>
  <c r="AV8" i="6"/>
  <c r="Z12" i="6"/>
  <c r="L12" i="6"/>
  <c r="BD15" i="6"/>
  <c r="V15" i="6"/>
  <c r="Y15" i="6"/>
  <c r="Y13" i="6"/>
  <c r="Q13" i="6"/>
  <c r="Y9" i="6"/>
  <c r="L9" i="6"/>
  <c r="AD9" i="6"/>
  <c r="BR12" i="6"/>
  <c r="E18" i="6"/>
  <c r="BS18" i="6"/>
  <c r="BE18" i="6"/>
  <c r="BN73" i="6" a="1"/>
  <c r="BQ73" i="6" a="1"/>
  <c r="BM73" i="6" a="1"/>
  <c r="BP73" i="6" a="1"/>
  <c r="BO73" i="6" a="1"/>
  <c r="BL73" i="6" a="1"/>
  <c r="BK73" i="6" a="1"/>
  <c r="BR25" i="6"/>
  <c r="BS26" i="6"/>
  <c r="E26" i="6"/>
  <c r="F26" i="6" s="1"/>
  <c r="BR6" i="6"/>
  <c r="Y17" i="6"/>
  <c r="L17" i="6"/>
  <c r="BR17" i="6"/>
  <c r="AV19" i="6"/>
  <c r="AD21" i="6"/>
  <c r="BT25" i="6"/>
  <c r="L29" i="6"/>
  <c r="BN63" i="6" a="1"/>
  <c r="BQ63" i="6" a="1"/>
  <c r="BP63" i="6" a="1"/>
  <c r="BO63" i="6" a="1"/>
  <c r="BM63" i="6" a="1"/>
  <c r="BL63" i="6" a="1"/>
  <c r="BK63" i="6" a="1"/>
  <c r="AD6" i="6"/>
  <c r="Z10" i="6"/>
  <c r="BD11" i="6"/>
  <c r="V11" i="6"/>
  <c r="AP11" i="6"/>
  <c r="BD12" i="6"/>
  <c r="BR13" i="6"/>
  <c r="L16" i="6"/>
  <c r="AV17" i="6"/>
  <c r="BD27" i="6"/>
  <c r="V27" i="6"/>
  <c r="Y8" i="6"/>
  <c r="Q8" i="6"/>
  <c r="AD8" i="6"/>
  <c r="L11" i="6"/>
  <c r="AV14" i="6"/>
  <c r="AD15" i="6"/>
  <c r="Y16" i="6"/>
  <c r="Q16" i="6"/>
  <c r="AD16" i="6"/>
  <c r="BD16" i="6"/>
  <c r="L18" i="6"/>
  <c r="BR5" i="6"/>
  <c r="BS5" i="6"/>
  <c r="AP6" i="6"/>
  <c r="Z8" i="6"/>
  <c r="AJ9" i="6"/>
  <c r="BD9" i="6"/>
  <c r="L13" i="6"/>
  <c r="E15" i="6"/>
  <c r="BS15" i="6"/>
  <c r="AP20" i="6"/>
  <c r="BR20" i="6"/>
  <c r="Z22" i="6"/>
  <c r="E11" i="6"/>
  <c r="BS11" i="6"/>
  <c r="Z15" i="6"/>
  <c r="AJ19" i="6"/>
  <c r="BR22" i="6"/>
  <c r="BS23" i="6"/>
  <c r="E23" i="6"/>
  <c r="AD24" i="6"/>
  <c r="Y6" i="6"/>
  <c r="BD10" i="6"/>
  <c r="BS10" i="6"/>
  <c r="Q15" i="6"/>
  <c r="AJ16" i="6"/>
  <c r="Z19" i="6"/>
  <c r="BS20" i="6"/>
  <c r="E20" i="6"/>
  <c r="AP22" i="6"/>
  <c r="AV23" i="6"/>
  <c r="AP21" i="6"/>
  <c r="BR24" i="6"/>
  <c r="BA29" i="6"/>
  <c r="BE29" i="6"/>
  <c r="BF29" i="6" s="1"/>
  <c r="BS16" i="6"/>
  <c r="BR18" i="6"/>
  <c r="E19" i="6"/>
  <c r="AD20" i="6"/>
  <c r="BR21" i="6"/>
  <c r="Q22" i="6"/>
  <c r="Z24" i="6"/>
  <c r="AD26" i="6"/>
  <c r="AE26" i="6" s="1"/>
  <c r="AG26" i="6" s="1"/>
  <c r="AP28" i="6"/>
  <c r="L27" i="6"/>
  <c r="E22" i="6"/>
  <c r="AJ22" i="6"/>
  <c r="V24" i="6"/>
  <c r="AP29" i="6"/>
  <c r="BD18" i="6"/>
  <c r="AV22" i="6"/>
  <c r="AD23" i="6"/>
  <c r="X24" i="6"/>
  <c r="AD25" i="6"/>
  <c r="AE24" i="6" s="1"/>
  <c r="AG24" i="6" s="1"/>
  <c r="BR28" i="6"/>
  <c r="L19" i="6"/>
  <c r="L20" i="6"/>
  <c r="Y22" i="6"/>
  <c r="L22" i="6"/>
  <c r="Y24" i="6"/>
  <c r="AJ25" i="6"/>
  <c r="AK24" i="6" s="1"/>
  <c r="AK23" i="6" s="1"/>
  <c r="AM23" i="6" s="1"/>
  <c r="Y26" i="6"/>
  <c r="BR27" i="6"/>
  <c r="L28" i="6"/>
  <c r="BR29" i="6"/>
  <c r="AJ27" i="6"/>
  <c r="Q11" i="14" l="1"/>
  <c r="Q11" i="12"/>
  <c r="R11" i="14"/>
  <c r="R11" i="12"/>
  <c r="P11" i="14"/>
  <c r="P11" i="12"/>
  <c r="BA30" i="5"/>
  <c r="BA27" i="5"/>
  <c r="BA31" i="5"/>
  <c r="BA28" i="5"/>
  <c r="BA26" i="5"/>
  <c r="BB31" i="5"/>
  <c r="BB28" i="5"/>
  <c r="BB26" i="5"/>
  <c r="BB30" i="5"/>
  <c r="BB27" i="5"/>
  <c r="AZ31" i="5"/>
  <c r="AZ28" i="5"/>
  <c r="AZ26" i="5"/>
  <c r="AZ30" i="5"/>
  <c r="AZ27" i="5"/>
  <c r="AK27" i="6"/>
  <c r="AM27" i="6" s="1"/>
  <c r="BE14" i="6"/>
  <c r="BF14" i="6" s="1"/>
  <c r="AQ27" i="6"/>
  <c r="AS27" i="6" s="1"/>
  <c r="M27" i="6"/>
  <c r="M28" i="6" s="1"/>
  <c r="R27" i="6"/>
  <c r="R28" i="6" s="1"/>
  <c r="R29" i="6" s="1"/>
  <c r="F27" i="6"/>
  <c r="F28" i="6" s="1"/>
  <c r="BC32" i="5"/>
  <c r="AM24" i="6"/>
  <c r="AQ23" i="6"/>
  <c r="AS23" i="6" s="1"/>
  <c r="AJ32" i="5" s="1"/>
  <c r="AD55" i="5" s="1"/>
  <c r="AE55" i="5" s="1"/>
  <c r="M23" i="6"/>
  <c r="N23" i="6" s="1"/>
  <c r="AS24" i="6"/>
  <c r="BJ32" i="5"/>
  <c r="BE54" i="5" s="1"/>
  <c r="BF54" i="5" s="1"/>
  <c r="BK32" i="5"/>
  <c r="S25" i="6"/>
  <c r="AW23" i="6"/>
  <c r="AW22" i="6" s="1"/>
  <c r="N24" i="6"/>
  <c r="S24" i="6" s="1"/>
  <c r="AE27" i="6"/>
  <c r="AG27" i="6" s="1"/>
  <c r="BA19" i="6"/>
  <c r="F23" i="6"/>
  <c r="H23" i="6" s="1"/>
  <c r="R23" i="6"/>
  <c r="R22" i="6" s="1"/>
  <c r="R21" i="6" s="1"/>
  <c r="R20" i="6" s="1"/>
  <c r="R19" i="6" s="1"/>
  <c r="R18" i="6" s="1"/>
  <c r="R17" i="6" s="1"/>
  <c r="R16" i="6" s="1"/>
  <c r="R15" i="6" s="1"/>
  <c r="R14" i="6" s="1"/>
  <c r="R13" i="6" s="1"/>
  <c r="R12" i="6" s="1"/>
  <c r="R11" i="6" s="1"/>
  <c r="R10" i="6" s="1"/>
  <c r="R9" i="6" s="1"/>
  <c r="R8" i="6" s="1"/>
  <c r="R7" i="6" s="1"/>
  <c r="R6" i="6" s="1"/>
  <c r="R5" i="6" s="1"/>
  <c r="BE9" i="6"/>
  <c r="BF9" i="6" s="1"/>
  <c r="BF18" i="6"/>
  <c r="BE22" i="6"/>
  <c r="BF22" i="6" s="1"/>
  <c r="CR22" i="6"/>
  <c r="BX19" i="6"/>
  <c r="BZ20" i="6"/>
  <c r="Q30" i="6" a="1"/>
  <c r="Q30" i="6" s="1"/>
  <c r="BF19" i="6"/>
  <c r="AV30" i="6" a="1"/>
  <c r="AV30" i="6" s="1"/>
  <c r="AV73" i="6" s="1" a="1"/>
  <c r="AV35" i="6" s="1"/>
  <c r="AE23" i="6"/>
  <c r="AG23" i="6" s="1"/>
  <c r="BC24" i="6"/>
  <c r="BG24" i="6"/>
  <c r="BC26" i="6"/>
  <c r="BG26" i="6"/>
  <c r="BC25" i="6"/>
  <c r="BF5" i="6"/>
  <c r="E30" i="6" a="1"/>
  <c r="E30" i="6" s="1"/>
  <c r="E63" i="6" s="1" a="1"/>
  <c r="E63" i="6" s="1"/>
  <c r="H24" i="6"/>
  <c r="I24" i="6" s="1"/>
  <c r="AP30" i="6" a="1"/>
  <c r="AP30" i="6" s="1"/>
  <c r="AP63" i="6" s="1" a="1"/>
  <c r="AP63" i="6" s="1"/>
  <c r="BF12" i="6"/>
  <c r="BR73" i="6" a="1"/>
  <c r="BR35" i="6" s="1"/>
  <c r="BA12" i="6"/>
  <c r="AD30" i="6" a="1"/>
  <c r="AD30" i="6" s="1"/>
  <c r="AD73" i="6" s="1" a="1"/>
  <c r="V30" i="6" a="1"/>
  <c r="V30" i="6" s="1"/>
  <c r="V73" i="6" s="1" a="1"/>
  <c r="BA25" i="6"/>
  <c r="BB24" i="6" s="1"/>
  <c r="BR63" i="6" a="1"/>
  <c r="BR63" i="6" s="1"/>
  <c r="AW27" i="6"/>
  <c r="BA20" i="6"/>
  <c r="BE20" i="6"/>
  <c r="BF20" i="6" s="1"/>
  <c r="BE21" i="6"/>
  <c r="BF21" i="6" s="1"/>
  <c r="BA21" i="6"/>
  <c r="BQ79" i="6"/>
  <c r="BQ73" i="6"/>
  <c r="BQ35" i="6"/>
  <c r="BQ34" i="6"/>
  <c r="BQ32" i="6"/>
  <c r="BQ33" i="6"/>
  <c r="AQ28" i="6"/>
  <c r="AS28" i="6" s="1"/>
  <c r="S26" i="6"/>
  <c r="AA26" i="6" s="1"/>
  <c r="BA13" i="6"/>
  <c r="BE13" i="6"/>
  <c r="BF13" i="6" s="1"/>
  <c r="BP79" i="6"/>
  <c r="BP73" i="6"/>
  <c r="BP33" i="6"/>
  <c r="BP32" i="6"/>
  <c r="BP35" i="6"/>
  <c r="BP34" i="6"/>
  <c r="W23" i="6"/>
  <c r="BE15" i="6"/>
  <c r="BF15" i="6" s="1"/>
  <c r="BA15" i="6"/>
  <c r="W27" i="6"/>
  <c r="BL69" i="6"/>
  <c r="BL63" i="6"/>
  <c r="BO79" i="6"/>
  <c r="BO73" i="6"/>
  <c r="BO31" i="6" s="1"/>
  <c r="BO35" i="6"/>
  <c r="BO34" i="6"/>
  <c r="BO33" i="6"/>
  <c r="BO32" i="6"/>
  <c r="BM63" i="6"/>
  <c r="BM69" i="6"/>
  <c r="BE26" i="6"/>
  <c r="BF26" i="6" s="1"/>
  <c r="BA26" i="6"/>
  <c r="BB26" i="6" s="1"/>
  <c r="BA6" i="6"/>
  <c r="BE6" i="6"/>
  <c r="BF6" i="6" s="1"/>
  <c r="BO69" i="6"/>
  <c r="BO63" i="6"/>
  <c r="BE11" i="6"/>
  <c r="BF11" i="6" s="1"/>
  <c r="BA11" i="6"/>
  <c r="H26" i="6"/>
  <c r="BE23" i="6"/>
  <c r="BF23" i="6" s="1"/>
  <c r="BA23" i="6"/>
  <c r="AK22" i="6"/>
  <c r="AM22" i="6" s="1"/>
  <c r="BP69" i="6"/>
  <c r="BP63" i="6"/>
  <c r="H27" i="6"/>
  <c r="I27" i="6" s="1"/>
  <c r="BK79" i="6"/>
  <c r="BK35" i="6"/>
  <c r="BK34" i="6"/>
  <c r="BK33" i="6"/>
  <c r="BK32" i="6"/>
  <c r="BK73" i="6"/>
  <c r="BN63" i="6"/>
  <c r="BN69" i="6"/>
  <c r="BA8" i="6"/>
  <c r="BE8" i="6"/>
  <c r="BF8" i="6" s="1"/>
  <c r="BE7" i="6"/>
  <c r="BF7" i="6" s="1"/>
  <c r="BA7" i="6"/>
  <c r="BE24" i="6"/>
  <c r="BF24" i="6" s="1"/>
  <c r="BA24" i="6"/>
  <c r="L30" i="6" a="1"/>
  <c r="L30" i="6" s="1"/>
  <c r="L73" i="6" s="1" a="1"/>
  <c r="BE10" i="6"/>
  <c r="BF10" i="6" s="1"/>
  <c r="BA10" i="6"/>
  <c r="BQ63" i="6"/>
  <c r="BQ69" i="6"/>
  <c r="BL35" i="6"/>
  <c r="BL34" i="6"/>
  <c r="BL33" i="6"/>
  <c r="BL32" i="6"/>
  <c r="BL73" i="6"/>
  <c r="BL31" i="6" s="1"/>
  <c r="BL79" i="6"/>
  <c r="BN73" i="6"/>
  <c r="BN31" i="6" s="1"/>
  <c r="BN79" i="6"/>
  <c r="BN35" i="6"/>
  <c r="BN33" i="6"/>
  <c r="BN32" i="6"/>
  <c r="BN34" i="6"/>
  <c r="BE16" i="6"/>
  <c r="BF16" i="6" s="1"/>
  <c r="BA16" i="6"/>
  <c r="BE27" i="6"/>
  <c r="BF27" i="6" s="1"/>
  <c r="BA27" i="6"/>
  <c r="AJ30" i="6" a="1"/>
  <c r="AJ30" i="6" s="1"/>
  <c r="AJ73" i="6" s="1" a="1"/>
  <c r="BA28" i="6"/>
  <c r="BE28" i="6"/>
  <c r="BF28" i="6" s="1"/>
  <c r="BE17" i="6"/>
  <c r="BF17" i="6" s="1"/>
  <c r="BA17" i="6"/>
  <c r="BK63" i="6"/>
  <c r="BK69" i="6"/>
  <c r="BM35" i="6"/>
  <c r="BM34" i="6"/>
  <c r="BM33" i="6"/>
  <c r="BM32" i="6"/>
  <c r="BM73" i="6"/>
  <c r="BM31" i="6" s="1"/>
  <c r="BM79" i="6"/>
  <c r="BT23" i="6" l="1"/>
  <c r="I23" i="6"/>
  <c r="BB45" i="5"/>
  <c r="S11" i="14"/>
  <c r="S11" i="12"/>
  <c r="R24" i="12" s="1"/>
  <c r="P9" i="14"/>
  <c r="P9" i="12"/>
  <c r="P7" i="14"/>
  <c r="P7" i="12"/>
  <c r="R6" i="14"/>
  <c r="R6" i="12"/>
  <c r="R5" i="14"/>
  <c r="R5" i="12"/>
  <c r="R10" i="14"/>
  <c r="R10" i="12"/>
  <c r="Q7" i="14"/>
  <c r="Q7" i="12"/>
  <c r="Q6" i="14"/>
  <c r="Q6" i="12"/>
  <c r="BT26" i="6"/>
  <c r="I26" i="6"/>
  <c r="AA25" i="6"/>
  <c r="P6" i="14"/>
  <c r="P6" i="12"/>
  <c r="P5" i="14"/>
  <c r="P5" i="12"/>
  <c r="P10" i="14"/>
  <c r="P10" i="12"/>
  <c r="R9" i="14"/>
  <c r="R9" i="12"/>
  <c r="R7" i="14"/>
  <c r="R7" i="12"/>
  <c r="Q5" i="14"/>
  <c r="Q5" i="12"/>
  <c r="Q10" i="14"/>
  <c r="Q10" i="12"/>
  <c r="Q9" i="14"/>
  <c r="Q9" i="12"/>
  <c r="AK28" i="6"/>
  <c r="AM28" i="6" s="1"/>
  <c r="N27" i="6"/>
  <c r="M22" i="6"/>
  <c r="N22" i="6" s="1"/>
  <c r="BC26" i="5"/>
  <c r="BB29" i="5"/>
  <c r="AQ22" i="6"/>
  <c r="AQ21" i="6" s="1"/>
  <c r="AZ29" i="5"/>
  <c r="E73" i="6" a="1"/>
  <c r="E35" i="6" s="1"/>
  <c r="BA29" i="5"/>
  <c r="BC28" i="5"/>
  <c r="BC27" i="5"/>
  <c r="BC31" i="5"/>
  <c r="BC30" i="5"/>
  <c r="AE28" i="6"/>
  <c r="AG28" i="6" s="1"/>
  <c r="BR32" i="5"/>
  <c r="BT32" i="5"/>
  <c r="BN55" i="5" s="1"/>
  <c r="BO55" i="5" s="1"/>
  <c r="BS32" i="5"/>
  <c r="BN54" i="5" s="1"/>
  <c r="BO54" i="5" s="1"/>
  <c r="BI32" i="5"/>
  <c r="BE53" i="5" s="1"/>
  <c r="BF53" i="5" s="1"/>
  <c r="BT24" i="6"/>
  <c r="AH32" i="5"/>
  <c r="AS32" i="5"/>
  <c r="BK31" i="5"/>
  <c r="BK30" i="5"/>
  <c r="BK27" i="5"/>
  <c r="BK28" i="5"/>
  <c r="BK26" i="5"/>
  <c r="AA24" i="6"/>
  <c r="AR32" i="5"/>
  <c r="AM54" i="5" s="1"/>
  <c r="AN54" i="5" s="1"/>
  <c r="BT27" i="6"/>
  <c r="AI32" i="5"/>
  <c r="AD54" i="5" s="1"/>
  <c r="AE54" i="5" s="1"/>
  <c r="AQ32" i="5"/>
  <c r="AM53" i="5" s="1"/>
  <c r="AN53" i="5" s="1"/>
  <c r="BH26" i="6"/>
  <c r="BI26" i="6" s="1"/>
  <c r="BH24" i="6"/>
  <c r="BE55" i="5"/>
  <c r="BF55" i="5" s="1"/>
  <c r="BJ28" i="5"/>
  <c r="BJ26" i="5"/>
  <c r="BJ31" i="5"/>
  <c r="BJ30" i="5"/>
  <c r="BJ27" i="5"/>
  <c r="AJ31" i="5"/>
  <c r="AJ28" i="5"/>
  <c r="AJ26" i="5"/>
  <c r="AJ30" i="5"/>
  <c r="AJ27" i="5"/>
  <c r="F22" i="6"/>
  <c r="AE22" i="6"/>
  <c r="CR23" i="6"/>
  <c r="BP31" i="6"/>
  <c r="BK31" i="6"/>
  <c r="BQ31" i="6"/>
  <c r="CJ20" i="6"/>
  <c r="CJ21" i="6" s="1"/>
  <c r="CL21" i="6" s="1"/>
  <c r="CF20" i="6"/>
  <c r="BX18" i="6"/>
  <c r="BZ19" i="6"/>
  <c r="AV32" i="6"/>
  <c r="AV63" i="6" a="1"/>
  <c r="AV63" i="6" s="1"/>
  <c r="AV34" i="6"/>
  <c r="AV73" i="6"/>
  <c r="AV31" i="6" s="1"/>
  <c r="AV33" i="6"/>
  <c r="R30" i="6"/>
  <c r="BR32" i="6"/>
  <c r="BJ32" i="6" s="1"/>
  <c r="AX24" i="6"/>
  <c r="V63" i="6" a="1"/>
  <c r="V63" i="6" s="1"/>
  <c r="AX26" i="6"/>
  <c r="BH25" i="6"/>
  <c r="BI25" i="6" s="1"/>
  <c r="AX25" i="6"/>
  <c r="BR33" i="6"/>
  <c r="BJ33" i="6" s="1"/>
  <c r="BR34" i="6"/>
  <c r="BJ34" i="6" s="1"/>
  <c r="AD63" i="6" a="1"/>
  <c r="AD63" i="6" s="1"/>
  <c r="AP73" i="6" a="1"/>
  <c r="AP35" i="6" s="1"/>
  <c r="BR79" i="6"/>
  <c r="BR73" i="6"/>
  <c r="BR31" i="6" s="1"/>
  <c r="BR69" i="6"/>
  <c r="L63" i="6" a="1"/>
  <c r="L63" i="6" s="1"/>
  <c r="AW28" i="6"/>
  <c r="L73" i="6"/>
  <c r="L31" i="6" s="1"/>
  <c r="L33" i="6"/>
  <c r="L35" i="6"/>
  <c r="L34" i="6"/>
  <c r="L32" i="6"/>
  <c r="AJ35" i="6"/>
  <c r="AJ34" i="6"/>
  <c r="AJ33" i="6"/>
  <c r="AJ32" i="6"/>
  <c r="AJ73" i="6"/>
  <c r="AJ31" i="6" s="1"/>
  <c r="W28" i="6"/>
  <c r="X27" i="6"/>
  <c r="V73" i="6"/>
  <c r="V31" i="6" s="1"/>
  <c r="V33" i="6"/>
  <c r="V34" i="6"/>
  <c r="V32" i="6"/>
  <c r="V35" i="6"/>
  <c r="F29" i="6"/>
  <c r="H28" i="6"/>
  <c r="I28" i="6" s="1"/>
  <c r="BB27" i="6"/>
  <c r="BB28" i="6" s="1"/>
  <c r="BB29" i="6" s="1"/>
  <c r="W22" i="6"/>
  <c r="X23" i="6"/>
  <c r="AQ29" i="6"/>
  <c r="AS29" i="6" s="1"/>
  <c r="AJ63" i="6" a="1"/>
  <c r="AJ63" i="6" s="1"/>
  <c r="AD35" i="6"/>
  <c r="AD34" i="6"/>
  <c r="AD33" i="6"/>
  <c r="AD32" i="6"/>
  <c r="AD73" i="6"/>
  <c r="AD31" i="6" s="1"/>
  <c r="M29" i="6"/>
  <c r="N28" i="6"/>
  <c r="AK21" i="6"/>
  <c r="AM21" i="6" s="1"/>
  <c r="AW21" i="6"/>
  <c r="BI24" i="6"/>
  <c r="BA30" i="6" a="1"/>
  <c r="BA30" i="6" s="1"/>
  <c r="BA73" i="6" s="1" a="1"/>
  <c r="BB23" i="6"/>
  <c r="BB22" i="6" s="1"/>
  <c r="BB21" i="6" s="1"/>
  <c r="BB20" i="6" s="1"/>
  <c r="BB19" i="6" s="1"/>
  <c r="BB18" i="6" s="1"/>
  <c r="BB17" i="6" s="1"/>
  <c r="BB16" i="6" s="1"/>
  <c r="BB15" i="6" s="1"/>
  <c r="BB14" i="6" s="1"/>
  <c r="BB13" i="6" s="1"/>
  <c r="BB12" i="6" s="1"/>
  <c r="BB11" i="6" s="1"/>
  <c r="BB10" i="6" s="1"/>
  <c r="BB9" i="6" s="1"/>
  <c r="BB8" i="6" s="1"/>
  <c r="BB7" i="6" s="1"/>
  <c r="BB6" i="6" s="1"/>
  <c r="BB5" i="6" s="1"/>
  <c r="BJ35" i="6"/>
  <c r="BJ37" i="6" s="1"/>
  <c r="AK29" i="6" l="1"/>
  <c r="AM29" i="6" s="1"/>
  <c r="AZ45" i="5"/>
  <c r="S9" i="14"/>
  <c r="S9" i="12"/>
  <c r="AW45" i="5"/>
  <c r="S6" i="14"/>
  <c r="S6" i="12"/>
  <c r="Q8" i="14"/>
  <c r="Q8" i="12"/>
  <c r="P8" i="14"/>
  <c r="P8" i="12"/>
  <c r="R8" i="14"/>
  <c r="R8" i="12"/>
  <c r="P24" i="12"/>
  <c r="BA45" i="5"/>
  <c r="S10" i="14"/>
  <c r="S10" i="12"/>
  <c r="Q24" i="12" s="1"/>
  <c r="AX45" i="5"/>
  <c r="S7" i="14"/>
  <c r="S7" i="12"/>
  <c r="N24" i="12" s="1"/>
  <c r="AV45" i="5"/>
  <c r="S5" i="14"/>
  <c r="S5" i="12"/>
  <c r="L24" i="12" s="1"/>
  <c r="M24" i="12"/>
  <c r="AS22" i="6"/>
  <c r="AA32" i="5" s="1"/>
  <c r="AS21" i="6"/>
  <c r="R32" i="5" s="1"/>
  <c r="AQ20" i="6"/>
  <c r="AS20" i="6" s="1"/>
  <c r="BC29" i="5"/>
  <c r="M21" i="6"/>
  <c r="N21" i="6" s="1"/>
  <c r="AE29" i="6"/>
  <c r="AG29" i="6" s="1"/>
  <c r="BD26" i="5" a="1"/>
  <c r="E32" i="6"/>
  <c r="E73" i="6"/>
  <c r="E31" i="6" s="1"/>
  <c r="E33" i="6"/>
  <c r="E34" i="6"/>
  <c r="AE21" i="6"/>
  <c r="AG21" i="6" s="1"/>
  <c r="AG22" i="6"/>
  <c r="Y32" i="5" s="1"/>
  <c r="BK29" i="5"/>
  <c r="CB32" i="5"/>
  <c r="CA32" i="5"/>
  <c r="BW53" i="5" s="1"/>
  <c r="BX53" i="5" s="1"/>
  <c r="BT28" i="6"/>
  <c r="AS31" i="5"/>
  <c r="AS28" i="5"/>
  <c r="AS27" i="5"/>
  <c r="AS30" i="5"/>
  <c r="AS26" i="5"/>
  <c r="AH31" i="5"/>
  <c r="AH28" i="5"/>
  <c r="AH26" i="5"/>
  <c r="AH30" i="5"/>
  <c r="AH27" i="5"/>
  <c r="AK32" i="5"/>
  <c r="AJ45" i="5" s="1"/>
  <c r="BR30" i="5"/>
  <c r="BR31" i="5"/>
  <c r="BR28" i="5"/>
  <c r="BR27" i="5"/>
  <c r="BR26" i="5"/>
  <c r="BU32" i="5"/>
  <c r="BT45" i="5" s="1"/>
  <c r="Z32" i="5"/>
  <c r="U54" i="5" s="1"/>
  <c r="V54" i="5" s="1"/>
  <c r="CC32" i="5"/>
  <c r="BW55" i="5" s="1"/>
  <c r="BX55" i="5" s="1"/>
  <c r="AJ29" i="5"/>
  <c r="BJ29" i="5"/>
  <c r="AQ31" i="5"/>
  <c r="AQ27" i="5"/>
  <c r="AQ30" i="5"/>
  <c r="AQ28" i="5"/>
  <c r="AQ26" i="5"/>
  <c r="AT32" i="5"/>
  <c r="AI30" i="5"/>
  <c r="AI27" i="5"/>
  <c r="AI31" i="5"/>
  <c r="AI28" i="5"/>
  <c r="AI26" i="5"/>
  <c r="AR30" i="5"/>
  <c r="AR31" i="5"/>
  <c r="AR28" i="5"/>
  <c r="AR27" i="5"/>
  <c r="AR26" i="5"/>
  <c r="AM55" i="5"/>
  <c r="AN55" i="5" s="1"/>
  <c r="AD53" i="5"/>
  <c r="AE53" i="5" s="1"/>
  <c r="BI31" i="5"/>
  <c r="BI30" i="5"/>
  <c r="BL30" i="5" s="1"/>
  <c r="BI45" i="5" s="1"/>
  <c r="BI27" i="5"/>
  <c r="BI28" i="5"/>
  <c r="BL28" i="5" s="1"/>
  <c r="BG45" i="5" s="1"/>
  <c r="BI26" i="5"/>
  <c r="BL32" i="5"/>
  <c r="BK45" i="5" s="1"/>
  <c r="BS30" i="5"/>
  <c r="BS31" i="5"/>
  <c r="BS27" i="5"/>
  <c r="BS28" i="5"/>
  <c r="BS26" i="5"/>
  <c r="BT31" i="5"/>
  <c r="BT30" i="5"/>
  <c r="BT28" i="5"/>
  <c r="BT27" i="5"/>
  <c r="BT26" i="5"/>
  <c r="BN53" i="5"/>
  <c r="BO53" i="5" s="1"/>
  <c r="F21" i="6"/>
  <c r="H22" i="6"/>
  <c r="I22" i="6" s="1"/>
  <c r="CR25" i="6" a="1"/>
  <c r="CR37" i="6" s="1"/>
  <c r="BJ31" i="6"/>
  <c r="BX17" i="6"/>
  <c r="BZ18" i="6"/>
  <c r="CJ22" i="6"/>
  <c r="CL22" i="6" s="1"/>
  <c r="AP73" i="6"/>
  <c r="AP31" i="6" s="1"/>
  <c r="AP33" i="6"/>
  <c r="AP32" i="6"/>
  <c r="AP34" i="6"/>
  <c r="BC23" i="6"/>
  <c r="BG23" i="6"/>
  <c r="BC27" i="6"/>
  <c r="BG27" i="6"/>
  <c r="M20" i="6"/>
  <c r="BA63" i="6" a="1"/>
  <c r="BA63" i="6" s="1"/>
  <c r="AW29" i="6"/>
  <c r="BA73" i="6"/>
  <c r="BA31" i="6" s="1"/>
  <c r="BA35" i="6"/>
  <c r="BA34" i="6"/>
  <c r="BA32" i="6"/>
  <c r="BA33" i="6"/>
  <c r="AW20" i="6"/>
  <c r="M30" i="6"/>
  <c r="M31" i="6" s="1"/>
  <c r="M32" i="6" s="1"/>
  <c r="M33" i="6" s="1"/>
  <c r="M34" i="6" s="1"/>
  <c r="M35" i="6" s="1"/>
  <c r="N29" i="6"/>
  <c r="BB30" i="6"/>
  <c r="W29" i="6"/>
  <c r="X28" i="6"/>
  <c r="AK30" i="6"/>
  <c r="AK31" i="6" s="1"/>
  <c r="AK32" i="6" s="1"/>
  <c r="AK33" i="6" s="1"/>
  <c r="AK34" i="6" s="1"/>
  <c r="AK35" i="6" s="1"/>
  <c r="AK20" i="6"/>
  <c r="AM20" i="6" s="1"/>
  <c r="AM30" i="6" s="1" a="1"/>
  <c r="AM30" i="6" s="1"/>
  <c r="AQ19" i="6"/>
  <c r="AQ30" i="6"/>
  <c r="H29" i="6"/>
  <c r="I29" i="6" s="1"/>
  <c r="F30" i="6"/>
  <c r="S23" i="6"/>
  <c r="AA23" i="6" s="1"/>
  <c r="AE30" i="6"/>
  <c r="AE31" i="6" s="1"/>
  <c r="AE32" i="6" s="1"/>
  <c r="AE33" i="6" s="1"/>
  <c r="AE34" i="6" s="1"/>
  <c r="AE35" i="6" s="1"/>
  <c r="W21" i="6"/>
  <c r="X22" i="6"/>
  <c r="S27" i="6"/>
  <c r="AW38" i="5" l="1"/>
  <c r="T7" i="14"/>
  <c r="T6" i="14"/>
  <c r="T6" i="12"/>
  <c r="T7" i="12"/>
  <c r="AY45" i="5"/>
  <c r="S8" i="14"/>
  <c r="S8" i="12"/>
  <c r="O24" i="12" s="1"/>
  <c r="L55" i="5"/>
  <c r="M55" i="5" s="1"/>
  <c r="I11" i="12"/>
  <c r="I11" i="14" s="1"/>
  <c r="AW35" i="5"/>
  <c r="AW33" i="5"/>
  <c r="AW31" i="5"/>
  <c r="AW30" i="5"/>
  <c r="AW28" i="5"/>
  <c r="AW27" i="5"/>
  <c r="AW26" i="5"/>
  <c r="AW36" i="5"/>
  <c r="AW34" i="5"/>
  <c r="AE20" i="6"/>
  <c r="AG20" i="6" s="1"/>
  <c r="AG30" i="6" s="1" a="1"/>
  <c r="AG30" i="6" s="1"/>
  <c r="AS30" i="6" a="1"/>
  <c r="AS30" i="6" s="1"/>
  <c r="AX38" i="5"/>
  <c r="BD26" i="5"/>
  <c r="F31" i="6"/>
  <c r="F32" i="6" s="1"/>
  <c r="F33" i="6" s="1"/>
  <c r="F34" i="6" s="1"/>
  <c r="F35" i="6" s="1"/>
  <c r="AI29" i="5"/>
  <c r="AQ31" i="6"/>
  <c r="AQ32" i="6" s="1"/>
  <c r="AQ33" i="6" s="1"/>
  <c r="AQ34" i="6" s="1"/>
  <c r="AQ35" i="6" s="1"/>
  <c r="BT29" i="5"/>
  <c r="AS29" i="5"/>
  <c r="BT22" i="6"/>
  <c r="BU28" i="5"/>
  <c r="BP45" i="5" s="1"/>
  <c r="BI29" i="5"/>
  <c r="BL29" i="5" s="1"/>
  <c r="BH45" i="5" s="1"/>
  <c r="BL26" i="5"/>
  <c r="BL27" i="5"/>
  <c r="BF45" i="5" s="1"/>
  <c r="BL31" i="5"/>
  <c r="BJ45" i="5" s="1"/>
  <c r="AT28" i="5"/>
  <c r="AO45" i="5" s="1"/>
  <c r="AT27" i="5"/>
  <c r="AN45" i="5" s="1"/>
  <c r="BU31" i="5"/>
  <c r="BS45" i="5" s="1"/>
  <c r="AK30" i="5"/>
  <c r="AH45" i="5" s="1"/>
  <c r="AK28" i="5"/>
  <c r="AF45" i="5" s="1"/>
  <c r="AB32" i="5"/>
  <c r="AA45" i="5" s="1"/>
  <c r="AA27" i="6"/>
  <c r="CL32" i="5"/>
  <c r="CK32" i="5"/>
  <c r="CJ32" i="5"/>
  <c r="CF53" i="5" s="1"/>
  <c r="CG53" i="5" s="1"/>
  <c r="BT29" i="6"/>
  <c r="BU26" i="5"/>
  <c r="BN45" i="5" s="1"/>
  <c r="BS29" i="5"/>
  <c r="BU27" i="5"/>
  <c r="BO45" i="5" s="1"/>
  <c r="AR29" i="5"/>
  <c r="AS45" i="5"/>
  <c r="AQ29" i="5"/>
  <c r="AT26" i="5"/>
  <c r="AM45" i="5" s="1"/>
  <c r="AT30" i="5"/>
  <c r="AQ45" i="5" s="1"/>
  <c r="AT31" i="5"/>
  <c r="AR45" i="5" s="1"/>
  <c r="BR29" i="5"/>
  <c r="BU30" i="5"/>
  <c r="BR45" i="5" s="1"/>
  <c r="AK27" i="5"/>
  <c r="AE45" i="5" s="1"/>
  <c r="AH29" i="5"/>
  <c r="AK26" i="5"/>
  <c r="AD45" i="5" s="1"/>
  <c r="AK31" i="5"/>
  <c r="AI45" i="5" s="1"/>
  <c r="U55" i="5"/>
  <c r="V55" i="5" s="1"/>
  <c r="U53" i="5"/>
  <c r="V53" i="5" s="1"/>
  <c r="CD32" i="5"/>
  <c r="CC45" i="5" s="1"/>
  <c r="BW54" i="5"/>
  <c r="BX54" i="5" s="1"/>
  <c r="P32" i="5"/>
  <c r="Q32" i="5"/>
  <c r="BD29" i="5"/>
  <c r="AW47" i="5"/>
  <c r="I32" i="5"/>
  <c r="R26" i="5" s="1"/>
  <c r="F20" i="6"/>
  <c r="H21" i="6"/>
  <c r="I21" i="6" s="1"/>
  <c r="CR25" i="6"/>
  <c r="CJ23" i="6"/>
  <c r="CL23" i="6" s="1"/>
  <c r="BX16" i="6"/>
  <c r="BZ17" i="6"/>
  <c r="BH27" i="6"/>
  <c r="BI27" i="6" s="1"/>
  <c r="AX27" i="6"/>
  <c r="BH23" i="6"/>
  <c r="BI23" i="6" s="1"/>
  <c r="AX23" i="6"/>
  <c r="BC22" i="6"/>
  <c r="BG22" i="6"/>
  <c r="M19" i="6"/>
  <c r="N20" i="6"/>
  <c r="BC28" i="6"/>
  <c r="BG28" i="6"/>
  <c r="BB31" i="6"/>
  <c r="BB32" i="6" s="1"/>
  <c r="BB33" i="6" s="1"/>
  <c r="BB34" i="6" s="1"/>
  <c r="BB35" i="6" s="1"/>
  <c r="AW30" i="6"/>
  <c r="AW31" i="6" s="1"/>
  <c r="AW32" i="6" s="1"/>
  <c r="AW33" i="6" s="1"/>
  <c r="AW34" i="6" s="1"/>
  <c r="AW35" i="6" s="1"/>
  <c r="F73" i="6" a="1"/>
  <c r="F73" i="6" s="1"/>
  <c r="AK19" i="6"/>
  <c r="S22" i="6"/>
  <c r="W20" i="6"/>
  <c r="X21" i="6"/>
  <c r="AW19" i="6"/>
  <c r="AQ18" i="6"/>
  <c r="AS19" i="6"/>
  <c r="S28" i="6"/>
  <c r="W30" i="6"/>
  <c r="W31" i="6" s="1"/>
  <c r="W32" i="6" s="1"/>
  <c r="W33" i="6" s="1"/>
  <c r="W34" i="6" s="1"/>
  <c r="W35" i="6" s="1"/>
  <c r="X29" i="6"/>
  <c r="R28" i="5" l="1"/>
  <c r="R27" i="5"/>
  <c r="T8" i="14"/>
  <c r="T8" i="12"/>
  <c r="L53" i="5"/>
  <c r="M53" i="5" s="1"/>
  <c r="G11" i="12"/>
  <c r="AV38" i="5"/>
  <c r="T5" i="14"/>
  <c r="T5" i="12"/>
  <c r="M13" i="14"/>
  <c r="M13" i="12"/>
  <c r="M5" i="14"/>
  <c r="M5" i="12"/>
  <c r="M7" i="14"/>
  <c r="M7" i="12"/>
  <c r="M10" i="14"/>
  <c r="M10" i="12"/>
  <c r="M14" i="14"/>
  <c r="M14" i="12"/>
  <c r="L54" i="5"/>
  <c r="M54" i="5" s="1"/>
  <c r="H11" i="12"/>
  <c r="H11" i="14" s="1"/>
  <c r="G6" i="13"/>
  <c r="N17" i="14"/>
  <c r="N17" i="12"/>
  <c r="N26" i="12" s="1"/>
  <c r="Z31" i="1"/>
  <c r="M15" i="14"/>
  <c r="M15" i="12"/>
  <c r="M6" i="14"/>
  <c r="M6" i="12"/>
  <c r="M9" i="14"/>
  <c r="M9" i="12"/>
  <c r="M12" i="14"/>
  <c r="M12" i="12"/>
  <c r="M17" i="14"/>
  <c r="F6" i="13"/>
  <c r="M17" i="12"/>
  <c r="M26" i="12" s="1"/>
  <c r="Y31" i="1"/>
  <c r="R30" i="5"/>
  <c r="R31" i="5"/>
  <c r="AX36" i="5"/>
  <c r="AX34" i="5"/>
  <c r="AX35" i="5"/>
  <c r="AX33" i="5"/>
  <c r="AX31" i="5"/>
  <c r="AX30" i="5"/>
  <c r="AX28" i="5"/>
  <c r="AX27" i="5"/>
  <c r="AX26" i="5"/>
  <c r="AV36" i="5"/>
  <c r="AV34" i="5"/>
  <c r="AV35" i="5"/>
  <c r="AV33" i="5"/>
  <c r="AV31" i="5"/>
  <c r="AV30" i="5"/>
  <c r="AV28" i="5"/>
  <c r="AV27" i="5"/>
  <c r="AV26" i="5"/>
  <c r="AE19" i="6"/>
  <c r="AK29" i="5"/>
  <c r="AG45" i="5" s="1"/>
  <c r="AV47" i="5"/>
  <c r="AY38" i="5"/>
  <c r="AY36" i="5"/>
  <c r="AX47" i="5"/>
  <c r="AU26" i="5" a="1"/>
  <c r="AN38" i="5" s="1"/>
  <c r="AT29" i="5"/>
  <c r="AP45" i="5" s="1"/>
  <c r="BV26" i="5" a="1"/>
  <c r="BE45" i="5"/>
  <c r="BM26" i="5" a="1"/>
  <c r="AA22" i="6"/>
  <c r="AA28" i="6"/>
  <c r="AL26" i="5" a="1"/>
  <c r="BU29" i="5"/>
  <c r="BQ45" i="5" s="1"/>
  <c r="CM32" i="5"/>
  <c r="CL45" i="5" s="1"/>
  <c r="CF54" i="5"/>
  <c r="CG54" i="5" s="1"/>
  <c r="CF55" i="5"/>
  <c r="CG55" i="5" s="1"/>
  <c r="BT21" i="6"/>
  <c r="S32" i="5"/>
  <c r="AW37" i="5"/>
  <c r="AW29" i="5"/>
  <c r="CU32" i="5"/>
  <c r="AA11" i="14" s="1"/>
  <c r="H32" i="5"/>
  <c r="Q26" i="5" s="1"/>
  <c r="G32" i="5"/>
  <c r="P26" i="5" s="1"/>
  <c r="N30" i="6" a="1"/>
  <c r="N30" i="6" s="1"/>
  <c r="C55" i="5"/>
  <c r="D55" i="5" s="1"/>
  <c r="H20" i="6"/>
  <c r="I20" i="6" s="1"/>
  <c r="F19" i="6"/>
  <c r="BX15" i="6"/>
  <c r="BZ16" i="6"/>
  <c r="CX22" i="6"/>
  <c r="CF22" i="6"/>
  <c r="CX23" i="6"/>
  <c r="CF23" i="6"/>
  <c r="BH28" i="6"/>
  <c r="BI28" i="6" s="1"/>
  <c r="AX28" i="6"/>
  <c r="BC29" i="6"/>
  <c r="BG29" i="6"/>
  <c r="BH22" i="6"/>
  <c r="BI22" i="6" s="1"/>
  <c r="AX22" i="6"/>
  <c r="BC21" i="6"/>
  <c r="BG21" i="6"/>
  <c r="N19" i="6"/>
  <c r="M18" i="6"/>
  <c r="AN30" i="6"/>
  <c r="AS73" i="6" a="1"/>
  <c r="AS18" i="6"/>
  <c r="AQ17" i="6"/>
  <c r="S21" i="6"/>
  <c r="W19" i="6"/>
  <c r="X20" i="6"/>
  <c r="AK18" i="6"/>
  <c r="AM19" i="6"/>
  <c r="AW18" i="6"/>
  <c r="S29" i="6"/>
  <c r="AE18" i="6"/>
  <c r="AG19" i="6"/>
  <c r="P28" i="5" l="1"/>
  <c r="Q28" i="5"/>
  <c r="Q27" i="5"/>
  <c r="P27" i="5"/>
  <c r="J30" i="6"/>
  <c r="AA26" i="5"/>
  <c r="I5" i="12"/>
  <c r="I5" i="14" s="1"/>
  <c r="AA31" i="5"/>
  <c r="I10" i="12"/>
  <c r="I10" i="14" s="1"/>
  <c r="AW40" i="5"/>
  <c r="M8" i="14"/>
  <c r="M8" i="12"/>
  <c r="R45" i="5"/>
  <c r="J11" i="12"/>
  <c r="J11" i="14" s="1"/>
  <c r="AY47" i="5"/>
  <c r="O17" i="14"/>
  <c r="H6" i="13"/>
  <c r="F22" i="13" s="1"/>
  <c r="O17" i="12"/>
  <c r="O26" i="12" s="1"/>
  <c r="AA31" i="1"/>
  <c r="L5" i="14"/>
  <c r="L5" i="12"/>
  <c r="L7" i="14"/>
  <c r="L7" i="12"/>
  <c r="L10" i="14"/>
  <c r="L10" i="12"/>
  <c r="L14" i="14"/>
  <c r="L14" i="12"/>
  <c r="L15" i="14"/>
  <c r="L15" i="12"/>
  <c r="N6" i="14"/>
  <c r="N6" i="12"/>
  <c r="N9" i="14"/>
  <c r="N9" i="12"/>
  <c r="N12" i="14"/>
  <c r="N12" i="12"/>
  <c r="N13" i="14"/>
  <c r="N13" i="12"/>
  <c r="K6" i="13"/>
  <c r="G22" i="13"/>
  <c r="I24" i="12"/>
  <c r="G11" i="14"/>
  <c r="AA30" i="5"/>
  <c r="I9" i="12"/>
  <c r="I9" i="14" s="1"/>
  <c r="AA27" i="5"/>
  <c r="I6" i="12"/>
  <c r="I6" i="14" s="1"/>
  <c r="AW42" i="5"/>
  <c r="F14" i="13"/>
  <c r="F34" i="13" s="1"/>
  <c r="M16" i="14"/>
  <c r="M19" i="14" s="1"/>
  <c r="M16" i="12"/>
  <c r="M65" i="12" s="1"/>
  <c r="AN47" i="5"/>
  <c r="U31" i="1"/>
  <c r="O15" i="14"/>
  <c r="O15" i="12"/>
  <c r="L6" i="14"/>
  <c r="L6" i="12"/>
  <c r="L9" i="14"/>
  <c r="L9" i="12"/>
  <c r="L12" i="14"/>
  <c r="L12" i="12"/>
  <c r="L13" i="14"/>
  <c r="L13" i="12"/>
  <c r="N5" i="14"/>
  <c r="N5" i="12"/>
  <c r="N7" i="14"/>
  <c r="N7" i="12"/>
  <c r="N10" i="14"/>
  <c r="N10" i="12"/>
  <c r="N14" i="14"/>
  <c r="N14" i="12"/>
  <c r="N15" i="14"/>
  <c r="N15" i="12"/>
  <c r="AA28" i="5"/>
  <c r="I7" i="12"/>
  <c r="I7" i="14" s="1"/>
  <c r="Y52" i="1"/>
  <c r="Y61" i="1"/>
  <c r="J6" i="13"/>
  <c r="M21" i="12"/>
  <c r="M19" i="12"/>
  <c r="Z61" i="1"/>
  <c r="Z52" i="1"/>
  <c r="E6" i="13"/>
  <c r="L17" i="14"/>
  <c r="L17" i="12"/>
  <c r="L26" i="12" s="1"/>
  <c r="X31" i="1"/>
  <c r="C54" i="5"/>
  <c r="D54" i="5" s="1"/>
  <c r="Q31" i="5"/>
  <c r="Q30" i="5"/>
  <c r="CU30" i="5"/>
  <c r="AA9" i="14" s="1"/>
  <c r="CU27" i="5"/>
  <c r="AA6" i="14" s="1"/>
  <c r="CU31" i="5"/>
  <c r="AA10" i="14" s="1"/>
  <c r="CU28" i="5"/>
  <c r="AA7" i="14" s="1"/>
  <c r="CU26" i="5"/>
  <c r="AA5" i="14" s="1"/>
  <c r="C53" i="5"/>
  <c r="D53" i="5" s="1"/>
  <c r="P30" i="5"/>
  <c r="P31" i="5"/>
  <c r="AY35" i="5"/>
  <c r="AY27" i="5"/>
  <c r="AW44" i="5" s="1"/>
  <c r="AY30" i="5"/>
  <c r="AY31" i="5"/>
  <c r="AV37" i="5"/>
  <c r="AY26" i="5"/>
  <c r="AY34" i="5"/>
  <c r="AY33" i="5"/>
  <c r="AY28" i="5"/>
  <c r="AV29" i="5"/>
  <c r="AX29" i="5"/>
  <c r="BA44" i="5"/>
  <c r="AX37" i="5"/>
  <c r="N73" i="6" a="1"/>
  <c r="N79" i="6" s="1"/>
  <c r="AS35" i="6"/>
  <c r="AS37" i="6" s="1"/>
  <c r="AS33" i="6"/>
  <c r="AS34" i="6"/>
  <c r="AS32" i="6"/>
  <c r="AU26" i="5"/>
  <c r="AU29" i="5" s="1"/>
  <c r="AO38" i="5"/>
  <c r="AA29" i="6"/>
  <c r="AN31" i="5"/>
  <c r="AN26" i="5"/>
  <c r="AN28" i="5"/>
  <c r="BM26" i="5"/>
  <c r="BF38" i="5"/>
  <c r="AC31" i="1" s="1"/>
  <c r="BG38" i="5"/>
  <c r="AD31" i="1" s="1"/>
  <c r="BO38" i="5"/>
  <c r="AG31" i="1" s="1"/>
  <c r="BP38" i="5"/>
  <c r="AH31" i="1" s="1"/>
  <c r="BV26" i="5"/>
  <c r="AN36" i="5"/>
  <c r="AN27" i="5"/>
  <c r="AA29" i="5"/>
  <c r="AE38" i="5"/>
  <c r="Q31" i="1" s="1"/>
  <c r="AF38" i="5"/>
  <c r="R31" i="1" s="1"/>
  <c r="AL26" i="5"/>
  <c r="AN34" i="5"/>
  <c r="AN30" i="5"/>
  <c r="AN35" i="5"/>
  <c r="AN33" i="5"/>
  <c r="AA21" i="6"/>
  <c r="R29" i="5"/>
  <c r="I8" i="12" s="1"/>
  <c r="I8" i="14" s="1"/>
  <c r="AW32" i="5"/>
  <c r="CS32" i="5"/>
  <c r="Y11" i="14" s="1"/>
  <c r="AM73" i="6" a="1"/>
  <c r="CT32" i="5"/>
  <c r="Z11" i="14" s="1"/>
  <c r="CO55" i="5"/>
  <c r="CP55" i="5" s="1"/>
  <c r="J32" i="5"/>
  <c r="I45" i="5" s="1"/>
  <c r="G7" i="12"/>
  <c r="I29" i="5"/>
  <c r="F18" i="6"/>
  <c r="H19" i="6"/>
  <c r="BT20" i="6"/>
  <c r="H30" i="6" a="1"/>
  <c r="H30" i="6" s="1"/>
  <c r="I30" i="6" s="1"/>
  <c r="BX14" i="6"/>
  <c r="BZ15" i="6"/>
  <c r="N33" i="6"/>
  <c r="J33" i="6" s="1"/>
  <c r="BG20" i="6"/>
  <c r="BH29" i="6"/>
  <c r="BI29" i="6" s="1"/>
  <c r="AX29" i="6"/>
  <c r="N35" i="6"/>
  <c r="N32" i="6"/>
  <c r="J32" i="6" s="1"/>
  <c r="N18" i="6"/>
  <c r="M17" i="6"/>
  <c r="BH21" i="6"/>
  <c r="BI21" i="6" s="1"/>
  <c r="AX21" i="6"/>
  <c r="AS73" i="6"/>
  <c r="AS31" i="6" s="1"/>
  <c r="AH30" i="6"/>
  <c r="BC20" i="6"/>
  <c r="AS79" i="6"/>
  <c r="S20" i="6"/>
  <c r="X30" i="6" a="1"/>
  <c r="X30" i="6" s="1"/>
  <c r="AK17" i="6"/>
  <c r="AM18" i="6"/>
  <c r="W18" i="6"/>
  <c r="X19" i="6"/>
  <c r="AW17" i="6"/>
  <c r="AE17" i="6"/>
  <c r="AG18" i="6"/>
  <c r="AB30" i="6"/>
  <c r="AG73" i="6" a="1"/>
  <c r="AS17" i="6"/>
  <c r="AQ16" i="6"/>
  <c r="J35" i="6" l="1"/>
  <c r="N37" i="6"/>
  <c r="Z26" i="5"/>
  <c r="H5" i="12"/>
  <c r="H5" i="14" s="1"/>
  <c r="Z28" i="5"/>
  <c r="H7" i="12"/>
  <c r="H7" i="14" s="1"/>
  <c r="Y26" i="5"/>
  <c r="AB26" i="5" s="1"/>
  <c r="U45" i="5" s="1"/>
  <c r="G5" i="12"/>
  <c r="Y30" i="5"/>
  <c r="G9" i="12"/>
  <c r="Y31" i="5"/>
  <c r="G10" i="12"/>
  <c r="AW43" i="5"/>
  <c r="M11" i="14"/>
  <c r="M11" i="12"/>
  <c r="M22" i="12" s="1"/>
  <c r="Q61" i="1"/>
  <c r="Q52" i="1"/>
  <c r="AG61" i="1"/>
  <c r="AG52" i="1"/>
  <c r="AC61" i="1"/>
  <c r="AC52" i="1"/>
  <c r="AO28" i="5"/>
  <c r="V31" i="1"/>
  <c r="AV40" i="5"/>
  <c r="L8" i="14"/>
  <c r="L8" i="12"/>
  <c r="O12" i="14"/>
  <c r="O12" i="12"/>
  <c r="AV44" i="5"/>
  <c r="O5" i="14"/>
  <c r="O5" i="12"/>
  <c r="BD31" i="5"/>
  <c r="O10" i="14"/>
  <c r="O10" i="12"/>
  <c r="AW46" i="5"/>
  <c r="O6" i="14"/>
  <c r="O6" i="12"/>
  <c r="I6" i="13"/>
  <c r="E22" i="13"/>
  <c r="Z48" i="1"/>
  <c r="I124" i="1" s="1"/>
  <c r="Z47" i="1"/>
  <c r="I123" i="1" s="1"/>
  <c r="Z46" i="1"/>
  <c r="I122" i="1" s="1"/>
  <c r="Z44" i="1"/>
  <c r="I120" i="1" s="1"/>
  <c r="Z43" i="1"/>
  <c r="I119" i="1" s="1"/>
  <c r="Z51" i="1"/>
  <c r="I127" i="1" s="1"/>
  <c r="Z42" i="1"/>
  <c r="I118" i="1" s="1"/>
  <c r="Z45" i="1"/>
  <c r="I121" i="1" s="1"/>
  <c r="Z50" i="1"/>
  <c r="I126" i="1" s="1"/>
  <c r="Z49" i="1"/>
  <c r="I125" i="1" s="1"/>
  <c r="Y42" i="1"/>
  <c r="I93" i="1" s="1"/>
  <c r="Y48" i="1"/>
  <c r="I99" i="1" s="1"/>
  <c r="Y47" i="1"/>
  <c r="I98" i="1" s="1"/>
  <c r="Y44" i="1"/>
  <c r="I95" i="1" s="1"/>
  <c r="Y50" i="1"/>
  <c r="I101" i="1" s="1"/>
  <c r="Y43" i="1"/>
  <c r="I94" i="1" s="1"/>
  <c r="Y51" i="1"/>
  <c r="I102" i="1" s="1"/>
  <c r="Y45" i="1"/>
  <c r="I96" i="1" s="1"/>
  <c r="Y46" i="1"/>
  <c r="I97" i="1" s="1"/>
  <c r="Y49" i="1"/>
  <c r="I100" i="1" s="1"/>
  <c r="F6" i="16"/>
  <c r="J6" i="16" s="1"/>
  <c r="N6" i="16" s="1"/>
  <c r="F6" i="15"/>
  <c r="O6" i="13"/>
  <c r="Y16" i="14"/>
  <c r="BT19" i="6"/>
  <c r="I19" i="6"/>
  <c r="Z31" i="5"/>
  <c r="H10" i="12"/>
  <c r="H10" i="14" s="1"/>
  <c r="Z30" i="5"/>
  <c r="H9" i="12"/>
  <c r="H9" i="14" s="1"/>
  <c r="Y27" i="5"/>
  <c r="G6" i="12"/>
  <c r="G7" i="14"/>
  <c r="R61" i="1"/>
  <c r="R52" i="1"/>
  <c r="AH61" i="1"/>
  <c r="AH52" i="1"/>
  <c r="AD52" i="1"/>
  <c r="AD61" i="1"/>
  <c r="AX42" i="5"/>
  <c r="G14" i="13"/>
  <c r="N16" i="14"/>
  <c r="N19" i="14" s="1"/>
  <c r="N16" i="12"/>
  <c r="N65" i="12" s="1"/>
  <c r="AX32" i="5"/>
  <c r="N8" i="14"/>
  <c r="N8" i="12"/>
  <c r="AX46" i="5"/>
  <c r="O7" i="14"/>
  <c r="O7" i="12"/>
  <c r="O13" i="14"/>
  <c r="O13" i="12"/>
  <c r="AV42" i="5"/>
  <c r="E14" i="13"/>
  <c r="L16" i="14"/>
  <c r="L19" i="14" s="1"/>
  <c r="L16" i="12"/>
  <c r="L65" i="12" s="1"/>
  <c r="BD30" i="5"/>
  <c r="O9" i="14"/>
  <c r="O9" i="12"/>
  <c r="O14" i="14"/>
  <c r="O14" i="12"/>
  <c r="Z27" i="5"/>
  <c r="H6" i="12"/>
  <c r="H6" i="14" s="1"/>
  <c r="X61" i="1"/>
  <c r="X52" i="1"/>
  <c r="Z59" i="1"/>
  <c r="I136" i="1" s="1"/>
  <c r="Z54" i="1"/>
  <c r="I131" i="1" s="1"/>
  <c r="Z55" i="1"/>
  <c r="I132" i="1" s="1"/>
  <c r="Z58" i="1"/>
  <c r="I135" i="1" s="1"/>
  <c r="Z60" i="1"/>
  <c r="I137" i="1" s="1"/>
  <c r="Z57" i="1"/>
  <c r="I134" i="1" s="1"/>
  <c r="Z56" i="1"/>
  <c r="I133" i="1" s="1"/>
  <c r="N6" i="13"/>
  <c r="Y59" i="1"/>
  <c r="I111" i="1" s="1"/>
  <c r="Y56" i="1"/>
  <c r="I108" i="1" s="1"/>
  <c r="Y55" i="1"/>
  <c r="I107" i="1" s="1"/>
  <c r="Y60" i="1"/>
  <c r="I112" i="1" s="1"/>
  <c r="Y57" i="1"/>
  <c r="I109" i="1" s="1"/>
  <c r="Y54" i="1"/>
  <c r="I106" i="1" s="1"/>
  <c r="Y58" i="1"/>
  <c r="I110" i="1" s="1"/>
  <c r="L21" i="12"/>
  <c r="L19" i="12"/>
  <c r="U52" i="1"/>
  <c r="U61" i="1"/>
  <c r="J14" i="13"/>
  <c r="N21" i="12"/>
  <c r="AA52" i="1"/>
  <c r="AA61" i="1"/>
  <c r="H22" i="13"/>
  <c r="L6" i="13"/>
  <c r="DD32" i="5"/>
  <c r="CX55" i="5" s="1"/>
  <c r="CY55" i="5" s="1"/>
  <c r="AN32" i="6"/>
  <c r="DM32" i="5"/>
  <c r="DM26" i="5" s="1"/>
  <c r="EE32" i="5"/>
  <c r="EE26" i="5" s="1"/>
  <c r="DV32" i="5"/>
  <c r="DP55" i="5" s="1"/>
  <c r="DQ55" i="5" s="1"/>
  <c r="EN32" i="5"/>
  <c r="CO54" i="5"/>
  <c r="CP54" i="5" s="1"/>
  <c r="CT31" i="5"/>
  <c r="Z10" i="14" s="1"/>
  <c r="CT28" i="5"/>
  <c r="Z7" i="14" s="1"/>
  <c r="CT26" i="5"/>
  <c r="Z5" i="14" s="1"/>
  <c r="CT30" i="5"/>
  <c r="Z9" i="14" s="1"/>
  <c r="CT27" i="5"/>
  <c r="Z6" i="14" s="1"/>
  <c r="CS30" i="5"/>
  <c r="Y9" i="14" s="1"/>
  <c r="CS27" i="5"/>
  <c r="Y6" i="14" s="1"/>
  <c r="CS31" i="5"/>
  <c r="Y10" i="14" s="1"/>
  <c r="CS28" i="5"/>
  <c r="Y7" i="14" s="1"/>
  <c r="CS26" i="5"/>
  <c r="Y5" i="14" s="1"/>
  <c r="DV28" i="5"/>
  <c r="DM27" i="5"/>
  <c r="DV27" i="5"/>
  <c r="DV26" i="5"/>
  <c r="DM31" i="5"/>
  <c r="DV31" i="5"/>
  <c r="EN30" i="5"/>
  <c r="AA9" i="12" s="1"/>
  <c r="DV30" i="5"/>
  <c r="AX40" i="5"/>
  <c r="AZ44" i="5"/>
  <c r="AV46" i="5"/>
  <c r="AX43" i="5"/>
  <c r="N73" i="6"/>
  <c r="N31" i="6" s="1"/>
  <c r="J31" i="6" s="1"/>
  <c r="AX44" i="5"/>
  <c r="N34" i="6"/>
  <c r="J34" i="6" s="1"/>
  <c r="AY29" i="5"/>
  <c r="AV32" i="5"/>
  <c r="AY37" i="5"/>
  <c r="AO35" i="5"/>
  <c r="AO27" i="5"/>
  <c r="AO36" i="5"/>
  <c r="AO34" i="5"/>
  <c r="AG32" i="6"/>
  <c r="AG33" i="6"/>
  <c r="AG34" i="6"/>
  <c r="AG35" i="6"/>
  <c r="AG37" i="6" s="1"/>
  <c r="AN29" i="5"/>
  <c r="AN32" i="5" s="1"/>
  <c r="AO30" i="5"/>
  <c r="AN37" i="5"/>
  <c r="AN42" i="5" s="1"/>
  <c r="Z29" i="5"/>
  <c r="AM73" i="6"/>
  <c r="AM31" i="6" s="1"/>
  <c r="AM35" i="6"/>
  <c r="AM37" i="6" s="1"/>
  <c r="AM32" i="6"/>
  <c r="AM33" i="6"/>
  <c r="AM34" i="6"/>
  <c r="AM79" i="6"/>
  <c r="AM38" i="5"/>
  <c r="AO33" i="5"/>
  <c r="AO47" i="5"/>
  <c r="AO26" i="5"/>
  <c r="AO31" i="5"/>
  <c r="AB31" i="5"/>
  <c r="Z45" i="5" s="1"/>
  <c r="S28" i="5"/>
  <c r="Y28" i="5"/>
  <c r="AB28" i="5" s="1"/>
  <c r="CC28" i="5"/>
  <c r="CL28" i="5"/>
  <c r="CC26" i="5"/>
  <c r="CL26" i="5"/>
  <c r="CC31" i="5"/>
  <c r="CL31" i="5"/>
  <c r="AF47" i="5"/>
  <c r="AF35" i="5"/>
  <c r="AF33" i="5"/>
  <c r="AF30" i="5"/>
  <c r="AF27" i="5"/>
  <c r="AF28" i="5"/>
  <c r="AF36" i="5"/>
  <c r="AF26" i="5"/>
  <c r="AF31" i="5"/>
  <c r="AF34" i="5"/>
  <c r="BP47" i="5"/>
  <c r="BP27" i="5"/>
  <c r="BP28" i="5"/>
  <c r="BP36" i="5"/>
  <c r="BP26" i="5"/>
  <c r="BP31" i="5"/>
  <c r="BP30" i="5"/>
  <c r="BP35" i="5"/>
  <c r="BP33" i="5"/>
  <c r="BP34" i="5"/>
  <c r="BG47" i="5"/>
  <c r="BG27" i="5"/>
  <c r="BG28" i="5"/>
  <c r="BG33" i="5"/>
  <c r="BG36" i="5"/>
  <c r="BG26" i="5"/>
  <c r="BG31" i="5"/>
  <c r="BG34" i="5"/>
  <c r="BG35" i="5"/>
  <c r="BG30" i="5"/>
  <c r="BM29" i="5"/>
  <c r="BE38" i="5"/>
  <c r="AB31" i="1" s="1"/>
  <c r="AN40" i="5"/>
  <c r="AB27" i="5"/>
  <c r="V45" i="5" s="1"/>
  <c r="AB30" i="5"/>
  <c r="Y45" i="5" s="1"/>
  <c r="CC27" i="5"/>
  <c r="CL27" i="5"/>
  <c r="CC30" i="5"/>
  <c r="CL30" i="5"/>
  <c r="AD38" i="5"/>
  <c r="P31" i="1" s="1"/>
  <c r="AL29" i="5"/>
  <c r="AE47" i="5"/>
  <c r="AE27" i="5"/>
  <c r="AE28" i="5"/>
  <c r="AE26" i="5"/>
  <c r="AE34" i="5"/>
  <c r="AE31" i="5"/>
  <c r="AE33" i="5"/>
  <c r="AE36" i="5"/>
  <c r="AE35" i="5"/>
  <c r="AE30" i="5"/>
  <c r="BV29" i="5"/>
  <c r="BN38" i="5"/>
  <c r="AF31" i="1" s="1"/>
  <c r="BO47" i="5"/>
  <c r="BO27" i="5"/>
  <c r="BO36" i="5"/>
  <c r="BO28" i="5"/>
  <c r="BO26" i="5"/>
  <c r="BO31" i="5"/>
  <c r="BO33" i="5"/>
  <c r="BO35" i="5"/>
  <c r="BO30" i="5"/>
  <c r="BO34" i="5"/>
  <c r="BF47" i="5"/>
  <c r="BF33" i="5"/>
  <c r="BF36" i="5"/>
  <c r="BF35" i="5"/>
  <c r="BF30" i="5"/>
  <c r="BF27" i="5"/>
  <c r="BF28" i="5"/>
  <c r="BF26" i="5"/>
  <c r="BF34" i="5"/>
  <c r="BF31" i="5"/>
  <c r="S27" i="5"/>
  <c r="Q29" i="5"/>
  <c r="H8" i="12" s="1"/>
  <c r="H8" i="14" s="1"/>
  <c r="S26" i="5"/>
  <c r="P29" i="5"/>
  <c r="G8" i="12" s="1"/>
  <c r="S30" i="5"/>
  <c r="S31" i="5"/>
  <c r="AX41" i="5"/>
  <c r="AW41" i="5"/>
  <c r="CU29" i="5"/>
  <c r="AA8" i="14" s="1"/>
  <c r="CV32" i="5"/>
  <c r="CO53" i="5"/>
  <c r="CP53" i="5" s="1"/>
  <c r="AA20" i="6"/>
  <c r="G29" i="5"/>
  <c r="J26" i="5"/>
  <c r="J30" i="5"/>
  <c r="G45" i="5" s="1"/>
  <c r="J28" i="5"/>
  <c r="E45" i="5" s="1"/>
  <c r="H29" i="5"/>
  <c r="J27" i="5"/>
  <c r="D45" i="5" s="1"/>
  <c r="J31" i="5"/>
  <c r="H45" i="5" s="1"/>
  <c r="BT30" i="6"/>
  <c r="BT73" i="6" s="1" a="1"/>
  <c r="C30" i="6"/>
  <c r="BS30" i="6" s="1"/>
  <c r="H18" i="6"/>
  <c r="F17" i="6"/>
  <c r="CJ15" i="6"/>
  <c r="CJ16" i="6" s="1"/>
  <c r="CL16" i="6" s="1"/>
  <c r="CF15" i="6"/>
  <c r="BX13" i="6"/>
  <c r="BZ14" i="6"/>
  <c r="AN31" i="6"/>
  <c r="BH20" i="6"/>
  <c r="BI20" i="6" s="1"/>
  <c r="AX20" i="6"/>
  <c r="BG30" i="6"/>
  <c r="BC30" i="6"/>
  <c r="AN34" i="6"/>
  <c r="N17" i="6"/>
  <c r="M16" i="6"/>
  <c r="AN33" i="6"/>
  <c r="BC19" i="6"/>
  <c r="BG19" i="6"/>
  <c r="AN35" i="6"/>
  <c r="AQ15" i="6"/>
  <c r="AS16" i="6"/>
  <c r="AG73" i="6"/>
  <c r="AG31" i="6" s="1"/>
  <c r="AG79" i="6"/>
  <c r="AK16" i="6"/>
  <c r="AM17" i="6"/>
  <c r="AW16" i="6"/>
  <c r="S19" i="6"/>
  <c r="AA19" i="6" s="1"/>
  <c r="S30" i="6"/>
  <c r="AC14" i="14" s="1"/>
  <c r="X73" i="6" a="1"/>
  <c r="AE16" i="6"/>
  <c r="AG17" i="6"/>
  <c r="W17" i="6"/>
  <c r="X18" i="6"/>
  <c r="M20" i="12" l="1"/>
  <c r="BT18" i="6"/>
  <c r="I18" i="6"/>
  <c r="P45" i="5"/>
  <c r="J9" i="12"/>
  <c r="J9" i="14" s="1"/>
  <c r="L45" i="5"/>
  <c r="J5" i="12"/>
  <c r="J5" i="14" s="1"/>
  <c r="M45" i="5"/>
  <c r="J6" i="12"/>
  <c r="J6" i="14" s="1"/>
  <c r="P52" i="1"/>
  <c r="P61" i="1"/>
  <c r="N45" i="5"/>
  <c r="J7" i="12"/>
  <c r="AM26" i="5"/>
  <c r="AP26" i="5" s="1"/>
  <c r="AM44" i="5" s="1"/>
  <c r="T31" i="1"/>
  <c r="AV41" i="5"/>
  <c r="L11" i="14"/>
  <c r="L11" i="12"/>
  <c r="L22" i="12" s="1"/>
  <c r="P6" i="13"/>
  <c r="L22" i="13"/>
  <c r="P22" i="13" s="1"/>
  <c r="N14" i="13"/>
  <c r="J34" i="13"/>
  <c r="N34" i="13" s="1"/>
  <c r="U44" i="1"/>
  <c r="H95" i="1" s="1"/>
  <c r="U45" i="1"/>
  <c r="H96" i="1" s="1"/>
  <c r="U42" i="1"/>
  <c r="H93" i="1" s="1"/>
  <c r="U50" i="1"/>
  <c r="H101" i="1" s="1"/>
  <c r="U48" i="1"/>
  <c r="H99" i="1" s="1"/>
  <c r="U49" i="1"/>
  <c r="H100" i="1" s="1"/>
  <c r="U46" i="1"/>
  <c r="H97" i="1" s="1"/>
  <c r="U43" i="1"/>
  <c r="H94" i="1" s="1"/>
  <c r="U51" i="1"/>
  <c r="H102" i="1" s="1"/>
  <c r="U47" i="1"/>
  <c r="H98" i="1" s="1"/>
  <c r="I113" i="1"/>
  <c r="J22" i="13"/>
  <c r="N22" i="13" s="1"/>
  <c r="X46" i="1"/>
  <c r="I72" i="1" s="1"/>
  <c r="X48" i="1"/>
  <c r="I74" i="1" s="1"/>
  <c r="X45" i="1"/>
  <c r="I71" i="1" s="1"/>
  <c r="X43" i="1"/>
  <c r="I69" i="1" s="1"/>
  <c r="X50" i="1"/>
  <c r="I76" i="1" s="1"/>
  <c r="X42" i="1"/>
  <c r="I68" i="1" s="1"/>
  <c r="X47" i="1"/>
  <c r="I73" i="1" s="1"/>
  <c r="X44" i="1"/>
  <c r="I70" i="1" s="1"/>
  <c r="X49" i="1"/>
  <c r="I75" i="1" s="1"/>
  <c r="X51" i="1"/>
  <c r="I77" i="1" s="1"/>
  <c r="P23" i="12"/>
  <c r="AZ46" i="5"/>
  <c r="T9" i="14"/>
  <c r="P21" i="14" s="1"/>
  <c r="T9" i="12"/>
  <c r="P25" i="12" s="1"/>
  <c r="N19" i="12"/>
  <c r="N11" i="14"/>
  <c r="N11" i="12"/>
  <c r="N22" i="12" s="1"/>
  <c r="G6" i="16"/>
  <c r="K6" i="16" s="1"/>
  <c r="O6" i="16" s="1"/>
  <c r="G6" i="15"/>
  <c r="K6" i="15" s="1"/>
  <c r="O6" i="15" s="1"/>
  <c r="AD45" i="1"/>
  <c r="J121" i="1" s="1"/>
  <c r="AD50" i="1"/>
  <c r="J126" i="1" s="1"/>
  <c r="AD46" i="1"/>
  <c r="J122" i="1" s="1"/>
  <c r="AD48" i="1"/>
  <c r="J124" i="1" s="1"/>
  <c r="AD42" i="1"/>
  <c r="J118" i="1" s="1"/>
  <c r="AD49" i="1"/>
  <c r="J125" i="1" s="1"/>
  <c r="AD47" i="1"/>
  <c r="J123" i="1" s="1"/>
  <c r="AD44" i="1"/>
  <c r="J120" i="1" s="1"/>
  <c r="AD43" i="1"/>
  <c r="J119" i="1" s="1"/>
  <c r="AD51" i="1"/>
  <c r="J127" i="1" s="1"/>
  <c r="AH57" i="1"/>
  <c r="K134" i="1" s="1"/>
  <c r="AH60" i="1"/>
  <c r="K137" i="1" s="1"/>
  <c r="AH59" i="1"/>
  <c r="K136" i="1" s="1"/>
  <c r="AH56" i="1"/>
  <c r="K133" i="1" s="1"/>
  <c r="AH58" i="1"/>
  <c r="K135" i="1" s="1"/>
  <c r="AH55" i="1"/>
  <c r="K132" i="1" s="1"/>
  <c r="AH54" i="1"/>
  <c r="K131" i="1" s="1"/>
  <c r="R60" i="1"/>
  <c r="G137" i="1" s="1"/>
  <c r="R55" i="1"/>
  <c r="G132" i="1" s="1"/>
  <c r="R56" i="1"/>
  <c r="G133" i="1" s="1"/>
  <c r="R57" i="1"/>
  <c r="G134" i="1" s="1"/>
  <c r="R54" i="1"/>
  <c r="G131" i="1" s="1"/>
  <c r="R59" i="1"/>
  <c r="G136" i="1" s="1"/>
  <c r="R58" i="1"/>
  <c r="G135" i="1" s="1"/>
  <c r="K22" i="13"/>
  <c r="O22" i="13" s="1"/>
  <c r="J6" i="15"/>
  <c r="N6" i="15" s="1"/>
  <c r="I103" i="1"/>
  <c r="I128" i="1"/>
  <c r="M25" i="12"/>
  <c r="M23" i="12"/>
  <c r="L25" i="12"/>
  <c r="L23" i="12"/>
  <c r="V52" i="1"/>
  <c r="V61" i="1"/>
  <c r="AC44" i="1"/>
  <c r="J95" i="1" s="1"/>
  <c r="AC49" i="1"/>
  <c r="J100" i="1" s="1"/>
  <c r="AC46" i="1"/>
  <c r="J97" i="1" s="1"/>
  <c r="AC48" i="1"/>
  <c r="J99" i="1" s="1"/>
  <c r="AC45" i="1"/>
  <c r="J96" i="1" s="1"/>
  <c r="AC50" i="1"/>
  <c r="J101" i="1" s="1"/>
  <c r="AC47" i="1"/>
  <c r="J98" i="1" s="1"/>
  <c r="AC42" i="1"/>
  <c r="J93" i="1" s="1"/>
  <c r="AC43" i="1"/>
  <c r="J94" i="1" s="1"/>
  <c r="AC51" i="1"/>
  <c r="J102" i="1" s="1"/>
  <c r="AG44" i="1"/>
  <c r="K95" i="1" s="1"/>
  <c r="AG43" i="1"/>
  <c r="K94" i="1" s="1"/>
  <c r="AG51" i="1"/>
  <c r="K102" i="1" s="1"/>
  <c r="AG42" i="1"/>
  <c r="K93" i="1" s="1"/>
  <c r="AG48" i="1"/>
  <c r="K99" i="1" s="1"/>
  <c r="AG50" i="1"/>
  <c r="K101" i="1" s="1"/>
  <c r="AG47" i="1"/>
  <c r="K98" i="1" s="1"/>
  <c r="AG46" i="1"/>
  <c r="K97" i="1" s="1"/>
  <c r="AG49" i="1"/>
  <c r="K100" i="1" s="1"/>
  <c r="AG45" i="1"/>
  <c r="K96" i="1" s="1"/>
  <c r="Q42" i="1"/>
  <c r="G93" i="1" s="1"/>
  <c r="Q50" i="1"/>
  <c r="G101" i="1" s="1"/>
  <c r="Q43" i="1"/>
  <c r="G94" i="1" s="1"/>
  <c r="Q51" i="1"/>
  <c r="G102" i="1" s="1"/>
  <c r="Q46" i="1"/>
  <c r="G97" i="1" s="1"/>
  <c r="Q48" i="1"/>
  <c r="G99" i="1" s="1"/>
  <c r="Q47" i="1"/>
  <c r="G98" i="1" s="1"/>
  <c r="Q49" i="1"/>
  <c r="G100" i="1" s="1"/>
  <c r="Q44" i="1"/>
  <c r="G95" i="1" s="1"/>
  <c r="Q45" i="1"/>
  <c r="G96" i="1" s="1"/>
  <c r="CU45" i="5"/>
  <c r="AB11" i="14"/>
  <c r="Q45" i="5"/>
  <c r="J10" i="12"/>
  <c r="J10" i="14" s="1"/>
  <c r="G8" i="14"/>
  <c r="AF61" i="1"/>
  <c r="AF52" i="1"/>
  <c r="AB52" i="1"/>
  <c r="AB61" i="1"/>
  <c r="AY42" i="5"/>
  <c r="H14" i="13"/>
  <c r="E28" i="13" s="1"/>
  <c r="O16" i="14"/>
  <c r="O16" i="12"/>
  <c r="AY44" i="5"/>
  <c r="O8" i="14"/>
  <c r="O8" i="12"/>
  <c r="AA58" i="1"/>
  <c r="I160" i="1" s="1"/>
  <c r="AA56" i="1"/>
  <c r="I158" i="1" s="1"/>
  <c r="AA46" i="1"/>
  <c r="I147" i="1" s="1"/>
  <c r="AA60" i="1"/>
  <c r="I162" i="1" s="1"/>
  <c r="AA44" i="1"/>
  <c r="I145" i="1" s="1"/>
  <c r="AA50" i="1"/>
  <c r="I151" i="1" s="1"/>
  <c r="AA47" i="1"/>
  <c r="I148" i="1" s="1"/>
  <c r="AA59" i="1"/>
  <c r="I161" i="1" s="1"/>
  <c r="AA55" i="1"/>
  <c r="I157" i="1" s="1"/>
  <c r="AA49" i="1"/>
  <c r="I150" i="1" s="1"/>
  <c r="AA54" i="1"/>
  <c r="I156" i="1" s="1"/>
  <c r="AA43" i="1"/>
  <c r="I144" i="1" s="1"/>
  <c r="AA45" i="1"/>
  <c r="I146" i="1" s="1"/>
  <c r="AA48" i="1"/>
  <c r="I149" i="1" s="1"/>
  <c r="AA57" i="1"/>
  <c r="I159" i="1" s="1"/>
  <c r="AA42" i="1"/>
  <c r="I143" i="1" s="1"/>
  <c r="AA51" i="1"/>
  <c r="I152" i="1" s="1"/>
  <c r="U60" i="1"/>
  <c r="H112" i="1" s="1"/>
  <c r="U57" i="1"/>
  <c r="H109" i="1" s="1"/>
  <c r="U54" i="1"/>
  <c r="H106" i="1" s="1"/>
  <c r="U56" i="1"/>
  <c r="H108" i="1" s="1"/>
  <c r="U55" i="1"/>
  <c r="H107" i="1" s="1"/>
  <c r="U58" i="1"/>
  <c r="H110" i="1" s="1"/>
  <c r="U59" i="1"/>
  <c r="H111" i="1" s="1"/>
  <c r="I138" i="1"/>
  <c r="E6" i="16"/>
  <c r="I6" i="16" s="1"/>
  <c r="M6" i="16" s="1"/>
  <c r="E6" i="15"/>
  <c r="I6" i="15" s="1"/>
  <c r="M6" i="15" s="1"/>
  <c r="X56" i="1"/>
  <c r="I83" i="1" s="1"/>
  <c r="X58" i="1"/>
  <c r="I85" i="1" s="1"/>
  <c r="X60" i="1"/>
  <c r="I87" i="1" s="1"/>
  <c r="X54" i="1"/>
  <c r="I81" i="1" s="1"/>
  <c r="X55" i="1"/>
  <c r="I82" i="1" s="1"/>
  <c r="X57" i="1"/>
  <c r="I84" i="1" s="1"/>
  <c r="X59" i="1"/>
  <c r="I86" i="1" s="1"/>
  <c r="E34" i="13"/>
  <c r="I14" i="13"/>
  <c r="N23" i="12"/>
  <c r="N25" i="12"/>
  <c r="G34" i="13"/>
  <c r="K14" i="13"/>
  <c r="G28" i="13"/>
  <c r="AD58" i="1"/>
  <c r="J135" i="1" s="1"/>
  <c r="AD60" i="1"/>
  <c r="J137" i="1" s="1"/>
  <c r="AD54" i="1"/>
  <c r="J131" i="1" s="1"/>
  <c r="AD57" i="1"/>
  <c r="J134" i="1" s="1"/>
  <c r="AD56" i="1"/>
  <c r="J133" i="1" s="1"/>
  <c r="AD59" i="1"/>
  <c r="J136" i="1" s="1"/>
  <c r="AD55" i="1"/>
  <c r="J132" i="1" s="1"/>
  <c r="AH48" i="1"/>
  <c r="K124" i="1" s="1"/>
  <c r="AH43" i="1"/>
  <c r="K119" i="1" s="1"/>
  <c r="AH51" i="1"/>
  <c r="K127" i="1" s="1"/>
  <c r="AH42" i="1"/>
  <c r="K118" i="1" s="1"/>
  <c r="AH50" i="1"/>
  <c r="K126" i="1" s="1"/>
  <c r="AH44" i="1"/>
  <c r="K120" i="1" s="1"/>
  <c r="AH47" i="1"/>
  <c r="K123" i="1" s="1"/>
  <c r="AH46" i="1"/>
  <c r="K122" i="1" s="1"/>
  <c r="AH49" i="1"/>
  <c r="K125" i="1" s="1"/>
  <c r="AH45" i="1"/>
  <c r="K121" i="1" s="1"/>
  <c r="R51" i="1"/>
  <c r="G127" i="1" s="1"/>
  <c r="R44" i="1"/>
  <c r="G120" i="1" s="1"/>
  <c r="R47" i="1"/>
  <c r="G123" i="1" s="1"/>
  <c r="R42" i="1"/>
  <c r="G118" i="1" s="1"/>
  <c r="R50" i="1"/>
  <c r="G126" i="1" s="1"/>
  <c r="R48" i="1"/>
  <c r="G124" i="1" s="1"/>
  <c r="R43" i="1"/>
  <c r="G119" i="1" s="1"/>
  <c r="R49" i="1"/>
  <c r="G125" i="1" s="1"/>
  <c r="R46" i="1"/>
  <c r="G122" i="1" s="1"/>
  <c r="R45" i="1"/>
  <c r="G121" i="1" s="1"/>
  <c r="G6" i="14"/>
  <c r="M6" i="13"/>
  <c r="I22" i="13"/>
  <c r="M22" i="13" s="1"/>
  <c r="Q23" i="12"/>
  <c r="BA46" i="5"/>
  <c r="T10" i="14"/>
  <c r="T10" i="12"/>
  <c r="Q25" i="12" s="1"/>
  <c r="O21" i="12"/>
  <c r="AC58" i="1"/>
  <c r="J110" i="1" s="1"/>
  <c r="AC55" i="1"/>
  <c r="J107" i="1" s="1"/>
  <c r="AC60" i="1"/>
  <c r="J112" i="1" s="1"/>
  <c r="AC54" i="1"/>
  <c r="J106" i="1" s="1"/>
  <c r="AC59" i="1"/>
  <c r="J111" i="1" s="1"/>
  <c r="AC56" i="1"/>
  <c r="J108" i="1" s="1"/>
  <c r="AC57" i="1"/>
  <c r="J109" i="1" s="1"/>
  <c r="AG58" i="1"/>
  <c r="K110" i="1" s="1"/>
  <c r="AG59" i="1"/>
  <c r="K111" i="1" s="1"/>
  <c r="AG57" i="1"/>
  <c r="K109" i="1" s="1"/>
  <c r="AG54" i="1"/>
  <c r="K106" i="1" s="1"/>
  <c r="AG55" i="1"/>
  <c r="K107" i="1" s="1"/>
  <c r="AG60" i="1"/>
  <c r="K112" i="1" s="1"/>
  <c r="AG56" i="1"/>
  <c r="K108" i="1" s="1"/>
  <c r="Q57" i="1"/>
  <c r="G109" i="1" s="1"/>
  <c r="Q58" i="1"/>
  <c r="G110" i="1" s="1"/>
  <c r="Q55" i="1"/>
  <c r="G107" i="1" s="1"/>
  <c r="Q54" i="1"/>
  <c r="G106" i="1" s="1"/>
  <c r="Q59" i="1"/>
  <c r="G111" i="1" s="1"/>
  <c r="Q56" i="1"/>
  <c r="G108" i="1" s="1"/>
  <c r="Q60" i="1"/>
  <c r="G112" i="1" s="1"/>
  <c r="G10" i="14"/>
  <c r="H24" i="12"/>
  <c r="G24" i="12"/>
  <c r="G9" i="14"/>
  <c r="C24" i="12"/>
  <c r="G5" i="14"/>
  <c r="EN26" i="5"/>
  <c r="AA5" i="12" s="1"/>
  <c r="AA11" i="12"/>
  <c r="EN31" i="5"/>
  <c r="AA10" i="12" s="1"/>
  <c r="DD27" i="5"/>
  <c r="DD30" i="5"/>
  <c r="EN27" i="5"/>
  <c r="AA6" i="12" s="1"/>
  <c r="DD31" i="5"/>
  <c r="DD26" i="5"/>
  <c r="DD28" i="5"/>
  <c r="DV29" i="5"/>
  <c r="EE28" i="5"/>
  <c r="EE30" i="5"/>
  <c r="AH34" i="6"/>
  <c r="ED32" i="5"/>
  <c r="ED31" i="5" s="1"/>
  <c r="AH32" i="6"/>
  <c r="DL32" i="5"/>
  <c r="DG54" i="5" s="1"/>
  <c r="DH54" i="5" s="1"/>
  <c r="EC32" i="5"/>
  <c r="EC28" i="5" s="1"/>
  <c r="AH35" i="6"/>
  <c r="EM32" i="5"/>
  <c r="DT32" i="5"/>
  <c r="DT31" i="5" s="1"/>
  <c r="AH31" i="6"/>
  <c r="DC32" i="5"/>
  <c r="DC30" i="5" s="1"/>
  <c r="DK32" i="5"/>
  <c r="DK31" i="5" s="1"/>
  <c r="EE31" i="5"/>
  <c r="DM28" i="5"/>
  <c r="DM29" i="5" s="1"/>
  <c r="DY55" i="5"/>
  <c r="DZ55" i="5" s="1"/>
  <c r="EE27" i="5"/>
  <c r="EE29" i="5" s="1"/>
  <c r="DG55" i="5"/>
  <c r="DH55" i="5" s="1"/>
  <c r="DB32" i="5"/>
  <c r="DB28" i="5" s="1"/>
  <c r="AH33" i="6"/>
  <c r="DU32" i="5"/>
  <c r="DU27" i="5" s="1"/>
  <c r="EL32" i="5"/>
  <c r="Y11" i="12" s="1"/>
  <c r="DM30" i="5"/>
  <c r="EN28" i="5"/>
  <c r="EH55" i="5"/>
  <c r="EI55" i="5" s="1"/>
  <c r="DT28" i="5"/>
  <c r="EM27" i="5"/>
  <c r="Z6" i="12" s="1"/>
  <c r="ED27" i="5"/>
  <c r="EM26" i="5"/>
  <c r="Z5" i="12" s="1"/>
  <c r="EM31" i="5"/>
  <c r="Z10" i="12" s="1"/>
  <c r="EC26" i="5"/>
  <c r="EL26" i="5"/>
  <c r="Y5" i="12" s="1"/>
  <c r="EC31" i="5"/>
  <c r="EL30" i="5"/>
  <c r="Y9" i="12" s="1"/>
  <c r="DB30" i="5"/>
  <c r="DT30" i="5"/>
  <c r="EM28" i="5"/>
  <c r="Z7" i="12" s="1"/>
  <c r="ED28" i="5"/>
  <c r="AY32" i="5"/>
  <c r="AV43" i="5"/>
  <c r="AY46" i="5"/>
  <c r="AY40" i="5"/>
  <c r="AO29" i="5"/>
  <c r="AO32" i="5" s="1"/>
  <c r="AO37" i="5"/>
  <c r="AO42" i="5" s="1"/>
  <c r="S29" i="5"/>
  <c r="Y29" i="5"/>
  <c r="AB29" i="5" s="1"/>
  <c r="X45" i="5" s="1"/>
  <c r="BO37" i="5"/>
  <c r="BO42" i="5" s="1"/>
  <c r="AN43" i="5"/>
  <c r="AM31" i="5"/>
  <c r="AP31" i="5" s="1"/>
  <c r="AR44" i="5" s="1"/>
  <c r="AM27" i="5"/>
  <c r="AP27" i="5" s="1"/>
  <c r="AN46" i="5" s="1"/>
  <c r="AM33" i="5"/>
  <c r="AP33" i="5" s="1"/>
  <c r="AM35" i="5"/>
  <c r="AP35" i="5" s="1"/>
  <c r="AM36" i="5"/>
  <c r="AP36" i="5" s="1"/>
  <c r="AM47" i="5"/>
  <c r="AM34" i="5"/>
  <c r="AP34" i="5" s="1"/>
  <c r="AM30" i="5"/>
  <c r="AP30" i="5" s="1"/>
  <c r="AQ44" i="5" s="1"/>
  <c r="AP38" i="5"/>
  <c r="AM28" i="5"/>
  <c r="AP28" i="5" s="1"/>
  <c r="AO46" i="5" s="1"/>
  <c r="AN41" i="5"/>
  <c r="BP37" i="5"/>
  <c r="BP42" i="5" s="1"/>
  <c r="CB31" i="5"/>
  <c r="CK31" i="5"/>
  <c r="CB27" i="5"/>
  <c r="CK27" i="5"/>
  <c r="CA28" i="5"/>
  <c r="CJ28" i="5"/>
  <c r="CA26" i="5"/>
  <c r="CJ26" i="5"/>
  <c r="CA31" i="5"/>
  <c r="CJ31" i="5"/>
  <c r="CM31" i="5" s="1"/>
  <c r="CK45" i="5" s="1"/>
  <c r="BO29" i="5"/>
  <c r="AE29" i="5"/>
  <c r="BP29" i="5"/>
  <c r="AF37" i="5"/>
  <c r="AF42" i="5" s="1"/>
  <c r="CC29" i="5"/>
  <c r="CV30" i="5"/>
  <c r="CB30" i="5"/>
  <c r="CK30" i="5"/>
  <c r="CB28" i="5"/>
  <c r="CK28" i="5"/>
  <c r="CB26" i="5"/>
  <c r="CK26" i="5"/>
  <c r="CA30" i="5"/>
  <c r="CJ30" i="5"/>
  <c r="CA27" i="5"/>
  <c r="CJ27" i="5"/>
  <c r="BF29" i="5"/>
  <c r="BF37" i="5"/>
  <c r="BF42" i="5" s="1"/>
  <c r="BN47" i="5"/>
  <c r="BQ38" i="5"/>
  <c r="AI31" i="1" s="1"/>
  <c r="BN26" i="5"/>
  <c r="BN30" i="5"/>
  <c r="BN36" i="5"/>
  <c r="BQ36" i="5" s="1"/>
  <c r="BN28" i="5"/>
  <c r="BN27" i="5"/>
  <c r="BN35" i="5"/>
  <c r="BQ35" i="5" s="1"/>
  <c r="BN34" i="5"/>
  <c r="BQ34" i="5" s="1"/>
  <c r="BN31" i="5"/>
  <c r="BN33" i="5"/>
  <c r="AE37" i="5"/>
  <c r="AE42" i="5" s="1"/>
  <c r="AG38" i="5"/>
  <c r="S31" i="1" s="1"/>
  <c r="AD47" i="5"/>
  <c r="AD26" i="5"/>
  <c r="AD34" i="5"/>
  <c r="AG34" i="5" s="1"/>
  <c r="AD30" i="5"/>
  <c r="AG30" i="5" s="1"/>
  <c r="AD35" i="5"/>
  <c r="AG35" i="5" s="1"/>
  <c r="AD36" i="5"/>
  <c r="AG36" i="5" s="1"/>
  <c r="AD28" i="5"/>
  <c r="AG28" i="5" s="1"/>
  <c r="AD27" i="5"/>
  <c r="AG27" i="5" s="1"/>
  <c r="AD31" i="5"/>
  <c r="AD33" i="5"/>
  <c r="AC26" i="5" a="1"/>
  <c r="BE47" i="5"/>
  <c r="BH38" i="5"/>
  <c r="AE31" i="1" s="1"/>
  <c r="BE36" i="5"/>
  <c r="BH36" i="5" s="1"/>
  <c r="BE31" i="5"/>
  <c r="BE33" i="5"/>
  <c r="BE26" i="5"/>
  <c r="BE34" i="5"/>
  <c r="BH34" i="5" s="1"/>
  <c r="BE30" i="5"/>
  <c r="BE28" i="5"/>
  <c r="BE27" i="5"/>
  <c r="BE35" i="5"/>
  <c r="BH35" i="5" s="1"/>
  <c r="BG29" i="5"/>
  <c r="BG37" i="5"/>
  <c r="BG42" i="5" s="1"/>
  <c r="AF29" i="5"/>
  <c r="AF40" i="5" s="1"/>
  <c r="CL29" i="5"/>
  <c r="W45" i="5"/>
  <c r="T26" i="5" a="1"/>
  <c r="AY43" i="5"/>
  <c r="AX30" i="6"/>
  <c r="AC13" i="14" s="1"/>
  <c r="CS29" i="5"/>
  <c r="Y8" i="14" s="1"/>
  <c r="CV31" i="5"/>
  <c r="CV26" i="5"/>
  <c r="CT29" i="5"/>
  <c r="Z8" i="14" s="1"/>
  <c r="CV27" i="5"/>
  <c r="CV28" i="5"/>
  <c r="C45" i="5"/>
  <c r="J29" i="5"/>
  <c r="F45" i="5" s="1"/>
  <c r="F16" i="6"/>
  <c r="H17" i="6"/>
  <c r="BT73" i="6"/>
  <c r="BT79" i="6"/>
  <c r="CJ17" i="6"/>
  <c r="CL17" i="6" s="1"/>
  <c r="BX12" i="6"/>
  <c r="BZ13" i="6"/>
  <c r="AB31" i="6"/>
  <c r="BH19" i="6"/>
  <c r="BI19" i="6" s="1"/>
  <c r="AX19" i="6"/>
  <c r="N16" i="6"/>
  <c r="M15" i="6"/>
  <c r="AB32" i="6"/>
  <c r="BC18" i="6"/>
  <c r="BG18" i="6"/>
  <c r="AB33" i="6"/>
  <c r="AB34" i="6"/>
  <c r="AB35" i="6"/>
  <c r="O30" i="6"/>
  <c r="AA30" i="6"/>
  <c r="S18" i="6"/>
  <c r="AA18" i="6" s="1"/>
  <c r="W16" i="6"/>
  <c r="X17" i="6"/>
  <c r="AE15" i="6"/>
  <c r="AG16" i="6"/>
  <c r="AW15" i="6"/>
  <c r="X73" i="6"/>
  <c r="X31" i="6" s="1"/>
  <c r="X33" i="6"/>
  <c r="X79" i="6"/>
  <c r="X35" i="6"/>
  <c r="X37" i="6" s="1"/>
  <c r="X34" i="6"/>
  <c r="X32" i="6"/>
  <c r="AK15" i="6"/>
  <c r="AM16" i="6"/>
  <c r="AQ14" i="6"/>
  <c r="AS15" i="6"/>
  <c r="L20" i="12" l="1"/>
  <c r="EL27" i="5"/>
  <c r="Y6" i="12" s="1"/>
  <c r="DB26" i="5"/>
  <c r="DD29" i="5"/>
  <c r="DC28" i="5"/>
  <c r="EL31" i="5"/>
  <c r="EO31" i="5" s="1"/>
  <c r="ED26" i="5"/>
  <c r="DC27" i="5"/>
  <c r="EL28" i="5"/>
  <c r="Y7" i="12" s="1"/>
  <c r="G128" i="1"/>
  <c r="K128" i="1"/>
  <c r="G103" i="1"/>
  <c r="K103" i="1"/>
  <c r="D24" i="12"/>
  <c r="CQ45" i="5"/>
  <c r="AB7" i="14"/>
  <c r="CT45" i="5"/>
  <c r="AB10" i="14"/>
  <c r="K6" i="12"/>
  <c r="K6" i="14" s="1"/>
  <c r="K7" i="12"/>
  <c r="K7" i="14" s="1"/>
  <c r="S52" i="1"/>
  <c r="S61" i="1"/>
  <c r="CS45" i="5"/>
  <c r="AB9" i="14"/>
  <c r="K113" i="1"/>
  <c r="J138" i="1"/>
  <c r="K34" i="13"/>
  <c r="O34" i="13" s="1"/>
  <c r="O14" i="13"/>
  <c r="I88" i="1"/>
  <c r="I153" i="1"/>
  <c r="I163" i="1"/>
  <c r="AB44" i="1"/>
  <c r="J70" i="1" s="1"/>
  <c r="AB46" i="1"/>
  <c r="J72" i="1" s="1"/>
  <c r="AB48" i="1"/>
  <c r="J74" i="1" s="1"/>
  <c r="AB50" i="1"/>
  <c r="J76" i="1" s="1"/>
  <c r="AB42" i="1"/>
  <c r="J68" i="1" s="1"/>
  <c r="AB43" i="1"/>
  <c r="J69" i="1" s="1"/>
  <c r="AB47" i="1"/>
  <c r="J73" i="1" s="1"/>
  <c r="AB51" i="1"/>
  <c r="J77" i="1" s="1"/>
  <c r="AB45" i="1"/>
  <c r="J71" i="1" s="1"/>
  <c r="AB49" i="1"/>
  <c r="J75" i="1" s="1"/>
  <c r="AF59" i="1"/>
  <c r="K86" i="1" s="1"/>
  <c r="AF56" i="1"/>
  <c r="K83" i="1" s="1"/>
  <c r="AF54" i="1"/>
  <c r="K81" i="1" s="1"/>
  <c r="AF55" i="1"/>
  <c r="K82" i="1" s="1"/>
  <c r="AF60" i="1"/>
  <c r="K87" i="1" s="1"/>
  <c r="AF58" i="1"/>
  <c r="K85" i="1" s="1"/>
  <c r="AF57" i="1"/>
  <c r="K84" i="1" s="1"/>
  <c r="V55" i="1"/>
  <c r="H132" i="1" s="1"/>
  <c r="V56" i="1"/>
  <c r="H133" i="1" s="1"/>
  <c r="V54" i="1"/>
  <c r="H131" i="1" s="1"/>
  <c r="V60" i="1"/>
  <c r="H137" i="1" s="1"/>
  <c r="V59" i="1"/>
  <c r="H136" i="1" s="1"/>
  <c r="V58" i="1"/>
  <c r="H135" i="1" s="1"/>
  <c r="V57" i="1"/>
  <c r="H134" i="1" s="1"/>
  <c r="G138" i="1"/>
  <c r="N20" i="12"/>
  <c r="I78" i="1"/>
  <c r="H103" i="1"/>
  <c r="T52" i="1"/>
  <c r="T61" i="1"/>
  <c r="J7" i="14"/>
  <c r="E24" i="12"/>
  <c r="P54" i="1"/>
  <c r="G81" i="1" s="1"/>
  <c r="P55" i="1"/>
  <c r="G82" i="1" s="1"/>
  <c r="P57" i="1"/>
  <c r="G84" i="1" s="1"/>
  <c r="P59" i="1"/>
  <c r="G86" i="1" s="1"/>
  <c r="P56" i="1"/>
  <c r="G83" i="1" s="1"/>
  <c r="P60" i="1"/>
  <c r="G87" i="1" s="1"/>
  <c r="P58" i="1"/>
  <c r="G85" i="1" s="1"/>
  <c r="BT17" i="6"/>
  <c r="I17" i="6"/>
  <c r="CP45" i="5"/>
  <c r="AB6" i="14"/>
  <c r="CO45" i="5"/>
  <c r="AB5" i="14"/>
  <c r="AE61" i="1"/>
  <c r="AE52" i="1"/>
  <c r="AI61" i="1"/>
  <c r="AI52" i="1"/>
  <c r="AP47" i="5"/>
  <c r="W31" i="1"/>
  <c r="O45" i="5"/>
  <c r="J8" i="12"/>
  <c r="BB44" i="5"/>
  <c r="O11" i="14"/>
  <c r="O11" i="12"/>
  <c r="EF28" i="5"/>
  <c r="DU31" i="5"/>
  <c r="DY54" i="5"/>
  <c r="DZ54" i="5" s="1"/>
  <c r="G113" i="1"/>
  <c r="J113" i="1"/>
  <c r="I34" i="13"/>
  <c r="M34" i="13" s="1"/>
  <c r="M14" i="13"/>
  <c r="H113" i="1"/>
  <c r="O23" i="12"/>
  <c r="O20" i="12"/>
  <c r="O19" i="12"/>
  <c r="O25" i="12"/>
  <c r="O19" i="14"/>
  <c r="P20" i="14"/>
  <c r="L14" i="13"/>
  <c r="I28" i="13" s="1"/>
  <c r="M28" i="13" s="1"/>
  <c r="H28" i="13"/>
  <c r="H34" i="13"/>
  <c r="F28" i="13"/>
  <c r="AB58" i="1"/>
  <c r="J85" i="1" s="1"/>
  <c r="AB56" i="1"/>
  <c r="J83" i="1" s="1"/>
  <c r="AB60" i="1"/>
  <c r="J87" i="1" s="1"/>
  <c r="AB54" i="1"/>
  <c r="J81" i="1" s="1"/>
  <c r="AB57" i="1"/>
  <c r="J84" i="1" s="1"/>
  <c r="AB55" i="1"/>
  <c r="J82" i="1" s="1"/>
  <c r="AB59" i="1"/>
  <c r="J86" i="1" s="1"/>
  <c r="AF51" i="1"/>
  <c r="K77" i="1" s="1"/>
  <c r="AF45" i="1"/>
  <c r="K71" i="1" s="1"/>
  <c r="AF49" i="1"/>
  <c r="K75" i="1" s="1"/>
  <c r="AF42" i="1"/>
  <c r="K68" i="1" s="1"/>
  <c r="AF46" i="1"/>
  <c r="K72" i="1" s="1"/>
  <c r="AF50" i="1"/>
  <c r="K76" i="1" s="1"/>
  <c r="AF43" i="1"/>
  <c r="K69" i="1" s="1"/>
  <c r="AF47" i="1"/>
  <c r="K73" i="1" s="1"/>
  <c r="AF44" i="1"/>
  <c r="K70" i="1" s="1"/>
  <c r="AF48" i="1"/>
  <c r="K74" i="1" s="1"/>
  <c r="AB17" i="14"/>
  <c r="J103" i="1"/>
  <c r="V50" i="1"/>
  <c r="H126" i="1" s="1"/>
  <c r="V45" i="1"/>
  <c r="H121" i="1" s="1"/>
  <c r="V44" i="1"/>
  <c r="H120" i="1" s="1"/>
  <c r="V42" i="1"/>
  <c r="H118" i="1" s="1"/>
  <c r="V46" i="1"/>
  <c r="H122" i="1" s="1"/>
  <c r="V49" i="1"/>
  <c r="H125" i="1" s="1"/>
  <c r="V48" i="1"/>
  <c r="H124" i="1" s="1"/>
  <c r="V43" i="1"/>
  <c r="H119" i="1" s="1"/>
  <c r="V51" i="1"/>
  <c r="H127" i="1" s="1"/>
  <c r="V47" i="1"/>
  <c r="H123" i="1" s="1"/>
  <c r="G40" i="13"/>
  <c r="AB16" i="14"/>
  <c r="K138" i="1"/>
  <c r="J128" i="1"/>
  <c r="P43" i="1"/>
  <c r="G69" i="1" s="1"/>
  <c r="P49" i="1"/>
  <c r="G75" i="1" s="1"/>
  <c r="P51" i="1"/>
  <c r="G77" i="1" s="1"/>
  <c r="P50" i="1"/>
  <c r="G76" i="1" s="1"/>
  <c r="P42" i="1"/>
  <c r="G68" i="1" s="1"/>
  <c r="P46" i="1"/>
  <c r="G72" i="1" s="1"/>
  <c r="P48" i="1"/>
  <c r="G74" i="1" s="1"/>
  <c r="P44" i="1"/>
  <c r="G70" i="1" s="1"/>
  <c r="P45" i="1"/>
  <c r="G71" i="1" s="1"/>
  <c r="P47" i="1"/>
  <c r="G73" i="1" s="1"/>
  <c r="DC26" i="5"/>
  <c r="DB27" i="5"/>
  <c r="EM30" i="5"/>
  <c r="Z9" i="12" s="1"/>
  <c r="Z11" i="12"/>
  <c r="DL30" i="5"/>
  <c r="DB31" i="5"/>
  <c r="DL26" i="5"/>
  <c r="DT27" i="5"/>
  <c r="DW27" i="5" s="1"/>
  <c r="DQ45" i="5" s="1"/>
  <c r="EN29" i="5"/>
  <c r="AA8" i="12" s="1"/>
  <c r="AA7" i="12"/>
  <c r="DK28" i="5"/>
  <c r="DK30" i="5"/>
  <c r="DN30" i="5" s="1"/>
  <c r="DK45" i="5" s="1"/>
  <c r="DU28" i="5"/>
  <c r="DK27" i="5"/>
  <c r="Y10" i="12"/>
  <c r="DU30" i="5"/>
  <c r="DU26" i="5"/>
  <c r="DU29" i="5" s="1"/>
  <c r="DL28" i="5"/>
  <c r="DT26" i="5"/>
  <c r="ED30" i="5"/>
  <c r="DL31" i="5"/>
  <c r="DN31" i="5" s="1"/>
  <c r="DL45" i="5" s="1"/>
  <c r="DL27" i="5"/>
  <c r="DL29" i="5" s="1"/>
  <c r="DP54" i="5"/>
  <c r="DQ54" i="5" s="1"/>
  <c r="DW32" i="5"/>
  <c r="DV45" i="5" s="1"/>
  <c r="EO28" i="5"/>
  <c r="DN32" i="5"/>
  <c r="DM45" i="5" s="1"/>
  <c r="EH54" i="5"/>
  <c r="EI54" i="5" s="1"/>
  <c r="DE32" i="5"/>
  <c r="DD45" i="5" s="1"/>
  <c r="DG53" i="5"/>
  <c r="DH53" i="5" s="1"/>
  <c r="CX53" i="5"/>
  <c r="CY53" i="5" s="1"/>
  <c r="EF32" i="5"/>
  <c r="EE45" i="5" s="1"/>
  <c r="CX54" i="5"/>
  <c r="CY54" i="5" s="1"/>
  <c r="DY53" i="5"/>
  <c r="DZ53" i="5" s="1"/>
  <c r="EC30" i="5"/>
  <c r="EF30" i="5" s="1"/>
  <c r="EC45" i="5" s="1"/>
  <c r="DC31" i="5"/>
  <c r="EC27" i="5"/>
  <c r="EC29" i="5" s="1"/>
  <c r="EO32" i="5"/>
  <c r="EN45" i="5" s="1"/>
  <c r="DK26" i="5"/>
  <c r="EH53" i="5"/>
  <c r="EI53" i="5" s="1"/>
  <c r="DP53" i="5"/>
  <c r="DQ53" i="5" s="1"/>
  <c r="EO26" i="5"/>
  <c r="AB5" i="12" s="1"/>
  <c r="EF26" i="5"/>
  <c r="DY45" i="5" s="1"/>
  <c r="ED29" i="5"/>
  <c r="DE28" i="5"/>
  <c r="CZ45" i="5" s="1"/>
  <c r="EA45" i="5"/>
  <c r="AY41" i="5"/>
  <c r="DW30" i="5"/>
  <c r="DT45" i="5" s="1"/>
  <c r="DE30" i="5"/>
  <c r="DB45" i="5" s="1"/>
  <c r="EO30" i="5"/>
  <c r="DE26" i="5"/>
  <c r="DW26" i="5"/>
  <c r="DP45" i="5" s="1"/>
  <c r="DW31" i="5"/>
  <c r="DU45" i="5" s="1"/>
  <c r="EF31" i="5"/>
  <c r="ED45" i="5" s="1"/>
  <c r="EM29" i="5"/>
  <c r="Z8" i="12" s="1"/>
  <c r="EF27" i="5"/>
  <c r="DZ45" i="5" s="1"/>
  <c r="EO27" i="5"/>
  <c r="DW28" i="5"/>
  <c r="DR45" i="5" s="1"/>
  <c r="BD32" i="5"/>
  <c r="AO40" i="5"/>
  <c r="AO43" i="5"/>
  <c r="CM30" i="5"/>
  <c r="CJ45" i="5" s="1"/>
  <c r="CD31" i="5"/>
  <c r="CB45" i="5" s="1"/>
  <c r="AM29" i="5"/>
  <c r="AM40" i="5" s="1"/>
  <c r="AM37" i="5"/>
  <c r="AP37" i="5" s="1"/>
  <c r="AP42" i="5" s="1"/>
  <c r="CK29" i="5"/>
  <c r="AM49" i="5"/>
  <c r="AN49" i="5" s="1"/>
  <c r="AO44" i="5"/>
  <c r="CB29" i="5"/>
  <c r="AC26" i="5"/>
  <c r="V38" i="5"/>
  <c r="W38" i="5"/>
  <c r="AG31" i="5"/>
  <c r="AF44" i="5"/>
  <c r="AF46" i="5"/>
  <c r="BQ31" i="5"/>
  <c r="BQ28" i="5"/>
  <c r="BP46" i="5" s="1"/>
  <c r="BQ30" i="5"/>
  <c r="BQ47" i="5"/>
  <c r="BN49" i="5"/>
  <c r="BO49" i="5" s="1"/>
  <c r="BF32" i="5"/>
  <c r="BF43" i="5" s="1"/>
  <c r="AP29" i="5"/>
  <c r="AP44" i="5" s="1"/>
  <c r="CM27" i="5"/>
  <c r="CG45" i="5" s="1"/>
  <c r="BP32" i="5"/>
  <c r="BP43" i="5" s="1"/>
  <c r="AE32" i="5"/>
  <c r="AE43" i="5" s="1"/>
  <c r="BO32" i="5"/>
  <c r="BO43" i="5" s="1"/>
  <c r="CJ29" i="5"/>
  <c r="CM26" i="5"/>
  <c r="CM28" i="5"/>
  <c r="CH45" i="5" s="1"/>
  <c r="BG32" i="5"/>
  <c r="BG43" i="5" s="1"/>
  <c r="BH27" i="5"/>
  <c r="BF46" i="5" s="1"/>
  <c r="BH30" i="5"/>
  <c r="BE29" i="5"/>
  <c r="BE40" i="5" s="1"/>
  <c r="BH26" i="5"/>
  <c r="BE44" i="5" s="1"/>
  <c r="BH31" i="5"/>
  <c r="BE49" i="5"/>
  <c r="BF49" i="5" s="1"/>
  <c r="BH47" i="5"/>
  <c r="AF32" i="5"/>
  <c r="AF43" i="5" s="1"/>
  <c r="BG40" i="5"/>
  <c r="BH28" i="5"/>
  <c r="BG46" i="5" s="1"/>
  <c r="BE37" i="5"/>
  <c r="BH37" i="5" s="1"/>
  <c r="BH33" i="5"/>
  <c r="AG33" i="5"/>
  <c r="AD37" i="5"/>
  <c r="AG37" i="5" s="1"/>
  <c r="AE44" i="5"/>
  <c r="AE46" i="5"/>
  <c r="AH44" i="5"/>
  <c r="AL30" i="5"/>
  <c r="AD29" i="5"/>
  <c r="AD40" i="5" s="1"/>
  <c r="AG26" i="5"/>
  <c r="AD44" i="5" s="1"/>
  <c r="AD49" i="5"/>
  <c r="AE49" i="5" s="1"/>
  <c r="AG47" i="5"/>
  <c r="BQ33" i="5"/>
  <c r="BN37" i="5"/>
  <c r="BQ37" i="5" s="1"/>
  <c r="BQ27" i="5"/>
  <c r="BO46" i="5" s="1"/>
  <c r="BQ26" i="5"/>
  <c r="BN44" i="5" s="1"/>
  <c r="BN29" i="5"/>
  <c r="BF40" i="5"/>
  <c r="AU31" i="5"/>
  <c r="AM51" i="5" s="1"/>
  <c r="AN51" i="5" s="1"/>
  <c r="AM46" i="5"/>
  <c r="CD27" i="5"/>
  <c r="BX45" i="5" s="1"/>
  <c r="CD30" i="5"/>
  <c r="CA45" i="5" s="1"/>
  <c r="BP40" i="5"/>
  <c r="AE40" i="5"/>
  <c r="BO40" i="5"/>
  <c r="AO41" i="5"/>
  <c r="AN44" i="5"/>
  <c r="AU30" i="5"/>
  <c r="AQ46" i="5" s="1"/>
  <c r="CA29" i="5"/>
  <c r="CD26" i="5"/>
  <c r="CD28" i="5"/>
  <c r="BY45" i="5" s="1"/>
  <c r="T26" i="5"/>
  <c r="K5" i="12" s="1"/>
  <c r="K5" i="14" s="1"/>
  <c r="N38" i="5"/>
  <c r="M38" i="5"/>
  <c r="CW26" i="5" a="1"/>
  <c r="CV29" i="5"/>
  <c r="D38" i="5"/>
  <c r="E31" i="1" s="1"/>
  <c r="E38" i="5"/>
  <c r="F31" i="1" s="1"/>
  <c r="F15" i="6"/>
  <c r="H16" i="6"/>
  <c r="BX11" i="6"/>
  <c r="BZ12" i="6"/>
  <c r="CX16" i="6"/>
  <c r="CF16" i="6"/>
  <c r="CJ18" i="6"/>
  <c r="CL18" i="6" s="1"/>
  <c r="BC35" i="6"/>
  <c r="BG35" i="6"/>
  <c r="BC33" i="6"/>
  <c r="AX33" i="6" s="1"/>
  <c r="BG33" i="6"/>
  <c r="BC17" i="6"/>
  <c r="BG17" i="6"/>
  <c r="BC31" i="6"/>
  <c r="AX31" i="6" s="1"/>
  <c r="BG31" i="6"/>
  <c r="BG34" i="6"/>
  <c r="BC34" i="6"/>
  <c r="AX34" i="6" s="1"/>
  <c r="BG32" i="6"/>
  <c r="BC32" i="6"/>
  <c r="AX32" i="6" s="1"/>
  <c r="BH18" i="6"/>
  <c r="BI18" i="6" s="1"/>
  <c r="AX18" i="6"/>
  <c r="N15" i="6"/>
  <c r="M14" i="6"/>
  <c r="AM15" i="6"/>
  <c r="AK14" i="6"/>
  <c r="T33" i="6"/>
  <c r="S33" i="6"/>
  <c r="AA33" i="6" s="1"/>
  <c r="W15" i="6"/>
  <c r="X16" i="6"/>
  <c r="T31" i="6"/>
  <c r="S31" i="6"/>
  <c r="AA31" i="6" s="1"/>
  <c r="AQ13" i="6"/>
  <c r="AS14" i="6"/>
  <c r="T32" i="6"/>
  <c r="S32" i="6"/>
  <c r="AA32" i="6" s="1"/>
  <c r="AW14" i="6"/>
  <c r="T34" i="6"/>
  <c r="S34" i="6"/>
  <c r="AA34" i="6" s="1"/>
  <c r="T35" i="6"/>
  <c r="S35" i="6"/>
  <c r="AE14" i="6"/>
  <c r="AG15" i="6"/>
  <c r="S17" i="6"/>
  <c r="AA17" i="6" s="1"/>
  <c r="T30" i="6"/>
  <c r="DC29" i="5" l="1"/>
  <c r="DE31" i="5"/>
  <c r="DC45" i="5" s="1"/>
  <c r="EL29" i="5"/>
  <c r="Y8" i="12" s="1"/>
  <c r="N35" i="5"/>
  <c r="N27" i="5"/>
  <c r="N36" i="5"/>
  <c r="N31" i="5"/>
  <c r="N28" i="5"/>
  <c r="N26" i="5"/>
  <c r="M28" i="5"/>
  <c r="M26" i="5"/>
  <c r="M35" i="5"/>
  <c r="M27" i="5"/>
  <c r="CR45" i="5"/>
  <c r="AB8" i="14"/>
  <c r="F5" i="13"/>
  <c r="D17" i="12"/>
  <c r="DN28" i="5"/>
  <c r="DI45" i="5" s="1"/>
  <c r="H128" i="1"/>
  <c r="J88" i="1"/>
  <c r="L39" i="13"/>
  <c r="H39" i="13"/>
  <c r="O22" i="12"/>
  <c r="R23" i="12"/>
  <c r="T56" i="1"/>
  <c r="H83" i="1" s="1"/>
  <c r="T60" i="1"/>
  <c r="H87" i="1" s="1"/>
  <c r="T58" i="1"/>
  <c r="H85" i="1" s="1"/>
  <c r="T54" i="1"/>
  <c r="H81" i="1" s="1"/>
  <c r="T57" i="1"/>
  <c r="H84" i="1" s="1"/>
  <c r="T55" i="1"/>
  <c r="H82" i="1" s="1"/>
  <c r="T59" i="1"/>
  <c r="H86" i="1" s="1"/>
  <c r="H138" i="1"/>
  <c r="AA35" i="6"/>
  <c r="S37" i="6"/>
  <c r="G41" i="13"/>
  <c r="G42" i="13" s="1"/>
  <c r="AX35" i="6"/>
  <c r="BC37" i="6"/>
  <c r="AO116" i="15" s="1"/>
  <c r="BT16" i="6"/>
  <c r="I16" i="6"/>
  <c r="AC6" i="14"/>
  <c r="AC7" i="14"/>
  <c r="G5" i="13"/>
  <c r="E17" i="12"/>
  <c r="BB46" i="5"/>
  <c r="T11" i="14"/>
  <c r="T11" i="12"/>
  <c r="R25" i="12" s="1"/>
  <c r="AB11" i="12"/>
  <c r="AA24" i="12" s="1"/>
  <c r="DT29" i="5"/>
  <c r="DN27" i="5"/>
  <c r="DH45" i="5" s="1"/>
  <c r="DE27" i="5"/>
  <c r="CY45" i="5" s="1"/>
  <c r="G78" i="1"/>
  <c r="K78" i="1"/>
  <c r="L28" i="13"/>
  <c r="P28" i="13" s="1"/>
  <c r="P14" i="13"/>
  <c r="L34" i="13"/>
  <c r="P34" i="13" s="1"/>
  <c r="J28" i="13"/>
  <c r="N28" i="13" s="1"/>
  <c r="J8" i="14"/>
  <c r="F24" i="12"/>
  <c r="W52" i="1"/>
  <c r="W61" i="1"/>
  <c r="AI49" i="1"/>
  <c r="K150" i="1" s="1"/>
  <c r="AI47" i="1"/>
  <c r="K148" i="1" s="1"/>
  <c r="AI44" i="1"/>
  <c r="K145" i="1" s="1"/>
  <c r="AI57" i="1"/>
  <c r="K159" i="1" s="1"/>
  <c r="AI50" i="1"/>
  <c r="K151" i="1" s="1"/>
  <c r="AI60" i="1"/>
  <c r="K162" i="1" s="1"/>
  <c r="AI51" i="1"/>
  <c r="K152" i="1" s="1"/>
  <c r="AI48" i="1"/>
  <c r="K149" i="1" s="1"/>
  <c r="AI55" i="1"/>
  <c r="K157" i="1" s="1"/>
  <c r="AI56" i="1"/>
  <c r="K158" i="1" s="1"/>
  <c r="AI42" i="1"/>
  <c r="K143" i="1" s="1"/>
  <c r="AI45" i="1"/>
  <c r="K146" i="1" s="1"/>
  <c r="AI59" i="1"/>
  <c r="K161" i="1" s="1"/>
  <c r="AI43" i="1"/>
  <c r="K144" i="1" s="1"/>
  <c r="AI46" i="1"/>
  <c r="K147" i="1" s="1"/>
  <c r="AI58" i="1"/>
  <c r="K160" i="1" s="1"/>
  <c r="AI54" i="1"/>
  <c r="K156" i="1" s="1"/>
  <c r="AE55" i="1"/>
  <c r="J157" i="1" s="1"/>
  <c r="AE58" i="1"/>
  <c r="J160" i="1" s="1"/>
  <c r="AE50" i="1"/>
  <c r="J151" i="1" s="1"/>
  <c r="AE60" i="1"/>
  <c r="J162" i="1" s="1"/>
  <c r="AE44" i="1"/>
  <c r="J145" i="1" s="1"/>
  <c r="AE59" i="1"/>
  <c r="J161" i="1" s="1"/>
  <c r="AE49" i="1"/>
  <c r="J150" i="1" s="1"/>
  <c r="AE45" i="1"/>
  <c r="J146" i="1" s="1"/>
  <c r="AE56" i="1"/>
  <c r="J158" i="1" s="1"/>
  <c r="AE46" i="1"/>
  <c r="J147" i="1" s="1"/>
  <c r="AE42" i="1"/>
  <c r="J143" i="1" s="1"/>
  <c r="AE48" i="1"/>
  <c r="J149" i="1" s="1"/>
  <c r="AE57" i="1"/>
  <c r="J159" i="1" s="1"/>
  <c r="AE51" i="1"/>
  <c r="J152" i="1" s="1"/>
  <c r="AE47" i="1"/>
  <c r="J148" i="1" s="1"/>
  <c r="AE43" i="1"/>
  <c r="J144" i="1" s="1"/>
  <c r="AE54" i="1"/>
  <c r="J156" i="1" s="1"/>
  <c r="G88" i="1"/>
  <c r="T44" i="1"/>
  <c r="H70" i="1" s="1"/>
  <c r="T46" i="1"/>
  <c r="H72" i="1" s="1"/>
  <c r="T48" i="1"/>
  <c r="H74" i="1" s="1"/>
  <c r="T50" i="1"/>
  <c r="H76" i="1" s="1"/>
  <c r="T42" i="1"/>
  <c r="H68" i="1" s="1"/>
  <c r="T43" i="1"/>
  <c r="H69" i="1" s="1"/>
  <c r="T45" i="1"/>
  <c r="H71" i="1" s="1"/>
  <c r="T47" i="1"/>
  <c r="H73" i="1" s="1"/>
  <c r="T49" i="1"/>
  <c r="H75" i="1" s="1"/>
  <c r="T51" i="1"/>
  <c r="H77" i="1" s="1"/>
  <c r="K88" i="1"/>
  <c r="J78" i="1"/>
  <c r="K28" i="13"/>
  <c r="O28" i="13" s="1"/>
  <c r="S56" i="1"/>
  <c r="G158" i="1" s="1"/>
  <c r="S43" i="1"/>
  <c r="G144" i="1" s="1"/>
  <c r="S54" i="1"/>
  <c r="G156" i="1" s="1"/>
  <c r="S47" i="1"/>
  <c r="G148" i="1" s="1"/>
  <c r="S44" i="1"/>
  <c r="G145" i="1" s="1"/>
  <c r="S58" i="1"/>
  <c r="G160" i="1" s="1"/>
  <c r="S51" i="1"/>
  <c r="G152" i="1" s="1"/>
  <c r="S48" i="1"/>
  <c r="G149" i="1" s="1"/>
  <c r="S46" i="1"/>
  <c r="G147" i="1" s="1"/>
  <c r="S59" i="1"/>
  <c r="G161" i="1" s="1"/>
  <c r="S55" i="1"/>
  <c r="G157" i="1" s="1"/>
  <c r="S42" i="1"/>
  <c r="G143" i="1" s="1"/>
  <c r="S50" i="1"/>
  <c r="G151" i="1" s="1"/>
  <c r="S45" i="1"/>
  <c r="G146" i="1" s="1"/>
  <c r="S60" i="1"/>
  <c r="G162" i="1" s="1"/>
  <c r="S49" i="1"/>
  <c r="G150" i="1" s="1"/>
  <c r="S57" i="1"/>
  <c r="G159" i="1" s="1"/>
  <c r="EI45" i="5"/>
  <c r="AB6" i="12"/>
  <c r="EL45" i="5"/>
  <c r="AB9" i="12"/>
  <c r="EJ45" i="5"/>
  <c r="AB7" i="12"/>
  <c r="U24" i="12"/>
  <c r="Y24" i="12"/>
  <c r="DK29" i="5"/>
  <c r="DN29" i="5" s="1"/>
  <c r="DJ45" i="5" s="1"/>
  <c r="EM45" i="5"/>
  <c r="AB10" i="12"/>
  <c r="Z24" i="12" s="1"/>
  <c r="CX45" i="5"/>
  <c r="DB29" i="5"/>
  <c r="DN26" i="5"/>
  <c r="DO26" i="5" s="1" a="1"/>
  <c r="DH38" i="5" s="1"/>
  <c r="DE29" i="5"/>
  <c r="N47" i="5"/>
  <c r="J31" i="1"/>
  <c r="V47" i="5"/>
  <c r="M31" i="1"/>
  <c r="M47" i="5"/>
  <c r="I31" i="1"/>
  <c r="W47" i="5"/>
  <c r="N31" i="1"/>
  <c r="DW29" i="5"/>
  <c r="DS45" i="5" s="1"/>
  <c r="EF29" i="5"/>
  <c r="EB45" i="5" s="1"/>
  <c r="EH45" i="5"/>
  <c r="EP26" i="5" a="1"/>
  <c r="DX26" i="5" a="1"/>
  <c r="EG26" i="5" a="1"/>
  <c r="EO29" i="5"/>
  <c r="M33" i="5"/>
  <c r="M31" i="5"/>
  <c r="M30" i="5"/>
  <c r="M36" i="5"/>
  <c r="M34" i="5"/>
  <c r="N34" i="5"/>
  <c r="N33" i="5"/>
  <c r="N30" i="5"/>
  <c r="AM32" i="5"/>
  <c r="AM43" i="5" s="1"/>
  <c r="CM29" i="5"/>
  <c r="CI45" i="5" s="1"/>
  <c r="BP41" i="5"/>
  <c r="AM50" i="5"/>
  <c r="AN50" i="5" s="1"/>
  <c r="AM42" i="5"/>
  <c r="BO41" i="5"/>
  <c r="AP40" i="5"/>
  <c r="BO44" i="5"/>
  <c r="AE41" i="5"/>
  <c r="BE42" i="5"/>
  <c r="BN42" i="5"/>
  <c r="BQ42" i="5"/>
  <c r="CD29" i="5"/>
  <c r="BZ45" i="5" s="1"/>
  <c r="AD42" i="5"/>
  <c r="AG42" i="5"/>
  <c r="BH42" i="5"/>
  <c r="BG44" i="5"/>
  <c r="CE26" i="5" a="1"/>
  <c r="BQ29" i="5"/>
  <c r="BN32" i="5"/>
  <c r="BN41" i="5" s="1"/>
  <c r="AD32" i="5"/>
  <c r="AD41" i="5" s="1"/>
  <c r="AG29" i="5"/>
  <c r="AG44" i="5" s="1"/>
  <c r="AD57" i="5"/>
  <c r="AE57" i="5" s="1"/>
  <c r="AD56" i="5"/>
  <c r="AE56" i="5" s="1"/>
  <c r="BM31" i="5"/>
  <c r="BE51" i="5" s="1"/>
  <c r="BF51" i="5" s="1"/>
  <c r="BE32" i="5"/>
  <c r="BH29" i="5"/>
  <c r="BH40" i="5" s="1"/>
  <c r="BM30" i="5"/>
  <c r="CF45" i="5"/>
  <c r="CN26" i="5" a="1"/>
  <c r="AP46" i="5"/>
  <c r="BV30" i="5"/>
  <c r="BV31" i="5"/>
  <c r="BN51" i="5" s="1"/>
  <c r="BO51" i="5" s="1"/>
  <c r="AL31" i="5"/>
  <c r="AD51" i="5" s="1"/>
  <c r="AE51" i="5" s="1"/>
  <c r="BW45" i="5"/>
  <c r="AM56" i="5"/>
  <c r="AN56" i="5" s="1"/>
  <c r="AM57" i="5"/>
  <c r="AN57" i="5" s="1"/>
  <c r="AM52" i="5"/>
  <c r="AN52" i="5" s="1"/>
  <c r="AR46" i="5"/>
  <c r="BN40" i="5"/>
  <c r="BN46" i="5"/>
  <c r="BN50" i="5"/>
  <c r="BO50" i="5" s="1"/>
  <c r="AD46" i="5"/>
  <c r="AH46" i="5"/>
  <c r="AD50" i="5"/>
  <c r="AE50" i="5" s="1"/>
  <c r="BE50" i="5"/>
  <c r="BF50" i="5" s="1"/>
  <c r="AF41" i="5"/>
  <c r="BJ44" i="5"/>
  <c r="BE46" i="5"/>
  <c r="BI44" i="5"/>
  <c r="BF44" i="5"/>
  <c r="BG41" i="5"/>
  <c r="AM41" i="5"/>
  <c r="AP32" i="5"/>
  <c r="BF41" i="5"/>
  <c r="BR44" i="5"/>
  <c r="BP44" i="5"/>
  <c r="BS44" i="5"/>
  <c r="AI44" i="5"/>
  <c r="AC29" i="5"/>
  <c r="U38" i="5"/>
  <c r="L31" i="1" s="1"/>
  <c r="L38" i="5"/>
  <c r="T29" i="5"/>
  <c r="K8" i="12" s="1"/>
  <c r="K8" i="14" s="1"/>
  <c r="CW26" i="5"/>
  <c r="AC5" i="14" s="1"/>
  <c r="CQ38" i="5"/>
  <c r="CP38" i="5"/>
  <c r="D47" i="5"/>
  <c r="E47" i="5"/>
  <c r="C38" i="5"/>
  <c r="D31" i="1" s="1"/>
  <c r="K29" i="5"/>
  <c r="F14" i="6"/>
  <c r="H15" i="6"/>
  <c r="BX10" i="6"/>
  <c r="BZ11" i="6"/>
  <c r="CF17" i="6"/>
  <c r="CX17" i="6"/>
  <c r="CJ19" i="6"/>
  <c r="CL19" i="6" s="1"/>
  <c r="BD35" i="6"/>
  <c r="AY35" i="6"/>
  <c r="AT35" i="6" s="1"/>
  <c r="BD33" i="6"/>
  <c r="AY33" i="6"/>
  <c r="AT33" i="6" s="1"/>
  <c r="AY30" i="6"/>
  <c r="AT30" i="6" s="1"/>
  <c r="BD30" i="6"/>
  <c r="BD34" i="6"/>
  <c r="AY34" i="6"/>
  <c r="AT34" i="6" s="1"/>
  <c r="BH17" i="6"/>
  <c r="BI17" i="6" s="1"/>
  <c r="AX17" i="6"/>
  <c r="M13" i="6"/>
  <c r="N14" i="6"/>
  <c r="AY32" i="6"/>
  <c r="AT32" i="6" s="1"/>
  <c r="BD32" i="6"/>
  <c r="AY31" i="6"/>
  <c r="AT31" i="6" s="1"/>
  <c r="BD31" i="6"/>
  <c r="BC16" i="6"/>
  <c r="BG16" i="6"/>
  <c r="Y30" i="6"/>
  <c r="O31" i="6"/>
  <c r="Y31" i="6" s="1"/>
  <c r="AW13" i="6"/>
  <c r="S16" i="6"/>
  <c r="AA16" i="6" s="1"/>
  <c r="O35" i="6"/>
  <c r="Y35" i="6" s="1"/>
  <c r="W14" i="6"/>
  <c r="X15" i="6"/>
  <c r="O32" i="6"/>
  <c r="Y32" i="6" s="1"/>
  <c r="O33" i="6"/>
  <c r="Y33" i="6" s="1"/>
  <c r="AQ12" i="6"/>
  <c r="AS13" i="6"/>
  <c r="AM14" i="6"/>
  <c r="AK13" i="6"/>
  <c r="AG14" i="6"/>
  <c r="AE13" i="6"/>
  <c r="O34" i="6"/>
  <c r="Y34" i="6" s="1"/>
  <c r="J163" i="1" l="1"/>
  <c r="K153" i="1"/>
  <c r="L35" i="5"/>
  <c r="L27" i="5"/>
  <c r="L36" i="5"/>
  <c r="L31" i="5"/>
  <c r="L28" i="5"/>
  <c r="L26" i="5"/>
  <c r="BT15" i="6"/>
  <c r="I15" i="6"/>
  <c r="W33" i="5"/>
  <c r="E12" i="12"/>
  <c r="W30" i="5"/>
  <c r="E9" i="12"/>
  <c r="E9" i="14" s="1"/>
  <c r="W34" i="5"/>
  <c r="E13" i="12"/>
  <c r="E13" i="14" s="1"/>
  <c r="V31" i="5"/>
  <c r="D10" i="12"/>
  <c r="D10" i="14" s="1"/>
  <c r="V34" i="5"/>
  <c r="D13" i="12"/>
  <c r="D13" i="14" s="1"/>
  <c r="V28" i="5"/>
  <c r="D7" i="12"/>
  <c r="D7" i="14" s="1"/>
  <c r="F7" i="13"/>
  <c r="V17" i="14"/>
  <c r="AS31" i="1"/>
  <c r="H31" i="1"/>
  <c r="H52" i="1" s="1"/>
  <c r="E5" i="13"/>
  <c r="C17" i="12"/>
  <c r="G153" i="1"/>
  <c r="H78" i="1"/>
  <c r="DF26" i="5" a="1"/>
  <c r="E17" i="14"/>
  <c r="E26" i="12"/>
  <c r="AO116" i="16"/>
  <c r="AL122" i="16" s="1"/>
  <c r="AL122" i="15"/>
  <c r="H88" i="1"/>
  <c r="D17" i="14"/>
  <c r="D26" i="12"/>
  <c r="W27" i="5"/>
  <c r="E6" i="12"/>
  <c r="E6" i="14" s="1"/>
  <c r="W36" i="5"/>
  <c r="E15" i="12"/>
  <c r="E15" i="14" s="1"/>
  <c r="V26" i="5"/>
  <c r="D5" i="12"/>
  <c r="D5" i="14" s="1"/>
  <c r="V35" i="5"/>
  <c r="D14" i="12"/>
  <c r="D14" i="14" s="1"/>
  <c r="G7" i="13"/>
  <c r="W17" i="14"/>
  <c r="AT31" i="1"/>
  <c r="L61" i="1"/>
  <c r="L52" i="1"/>
  <c r="W26" i="5"/>
  <c r="E5" i="12"/>
  <c r="E5" i="14" s="1"/>
  <c r="W28" i="5"/>
  <c r="E7" i="12"/>
  <c r="E7" i="14" s="1"/>
  <c r="W31" i="5"/>
  <c r="E10" i="12"/>
  <c r="E10" i="14" s="1"/>
  <c r="W35" i="5"/>
  <c r="W37" i="5" s="1"/>
  <c r="W42" i="5" s="1"/>
  <c r="E14" i="12"/>
  <c r="E14" i="14" s="1"/>
  <c r="V36" i="5"/>
  <c r="D15" i="12"/>
  <c r="D15" i="14" s="1"/>
  <c r="V27" i="5"/>
  <c r="D6" i="12"/>
  <c r="D6" i="14" s="1"/>
  <c r="V30" i="5"/>
  <c r="D9" i="12"/>
  <c r="D9" i="14" s="1"/>
  <c r="V33" i="5"/>
  <c r="V37" i="5" s="1"/>
  <c r="V42" i="5" s="1"/>
  <c r="D12" i="12"/>
  <c r="N52" i="1"/>
  <c r="N61" i="1"/>
  <c r="I61" i="1"/>
  <c r="I52" i="1"/>
  <c r="M61" i="1"/>
  <c r="M52" i="1"/>
  <c r="J61" i="1"/>
  <c r="J52" i="1"/>
  <c r="DA45" i="5"/>
  <c r="G163" i="1"/>
  <c r="J153" i="1"/>
  <c r="K163" i="1"/>
  <c r="W60" i="1"/>
  <c r="H162" i="1" s="1"/>
  <c r="W55" i="1"/>
  <c r="H157" i="1" s="1"/>
  <c r="W47" i="1"/>
  <c r="H148" i="1" s="1"/>
  <c r="W49" i="1"/>
  <c r="H150" i="1" s="1"/>
  <c r="W50" i="1"/>
  <c r="H151" i="1" s="1"/>
  <c r="W46" i="1"/>
  <c r="H147" i="1" s="1"/>
  <c r="W42" i="1"/>
  <c r="H143" i="1" s="1"/>
  <c r="W56" i="1"/>
  <c r="H158" i="1" s="1"/>
  <c r="W54" i="1"/>
  <c r="H156" i="1" s="1"/>
  <c r="W57" i="1"/>
  <c r="H159" i="1" s="1"/>
  <c r="W51" i="1"/>
  <c r="H152" i="1" s="1"/>
  <c r="W43" i="1"/>
  <c r="H144" i="1" s="1"/>
  <c r="W45" i="1"/>
  <c r="H146" i="1" s="1"/>
  <c r="W59" i="1"/>
  <c r="H161" i="1" s="1"/>
  <c r="W48" i="1"/>
  <c r="H149" i="1" s="1"/>
  <c r="W44" i="1"/>
  <c r="H145" i="1" s="1"/>
  <c r="W58" i="1"/>
  <c r="H160" i="1" s="1"/>
  <c r="K5" i="13"/>
  <c r="J5" i="13"/>
  <c r="AC6" i="12"/>
  <c r="AC7" i="12"/>
  <c r="EK45" i="5"/>
  <c r="AB8" i="12"/>
  <c r="X24" i="12" s="1"/>
  <c r="W24" i="12"/>
  <c r="V24" i="12"/>
  <c r="DG45" i="5"/>
  <c r="DH47" i="5"/>
  <c r="BA31" i="1"/>
  <c r="DI38" i="5"/>
  <c r="DO26" i="5"/>
  <c r="DG38" i="5" s="1"/>
  <c r="AZ31" i="1" s="1"/>
  <c r="DQ38" i="5"/>
  <c r="DX26" i="5"/>
  <c r="DR38" i="5"/>
  <c r="DZ38" i="5"/>
  <c r="EG26" i="5"/>
  <c r="EA38" i="5"/>
  <c r="EI38" i="5"/>
  <c r="EP26" i="5"/>
  <c r="AC5" i="12" s="1"/>
  <c r="EJ38" i="5"/>
  <c r="CP36" i="5"/>
  <c r="V15" i="14" s="1"/>
  <c r="CP34" i="5"/>
  <c r="V13" i="14" s="1"/>
  <c r="CP35" i="5"/>
  <c r="V14" i="14" s="1"/>
  <c r="CP33" i="5"/>
  <c r="V12" i="14" s="1"/>
  <c r="CP31" i="5"/>
  <c r="V10" i="14" s="1"/>
  <c r="CP30" i="5"/>
  <c r="V9" i="14" s="1"/>
  <c r="CP28" i="5"/>
  <c r="V7" i="14" s="1"/>
  <c r="CP27" i="5"/>
  <c r="V6" i="14" s="1"/>
  <c r="CP26" i="5"/>
  <c r="V5" i="14" s="1"/>
  <c r="CQ35" i="5"/>
  <c r="W14" i="14" s="1"/>
  <c r="CQ33" i="5"/>
  <c r="W12" i="14" s="1"/>
  <c r="CQ31" i="5"/>
  <c r="W10" i="14" s="1"/>
  <c r="CQ30" i="5"/>
  <c r="W9" i="14" s="1"/>
  <c r="CQ28" i="5"/>
  <c r="W7" i="14" s="1"/>
  <c r="CQ27" i="5"/>
  <c r="W6" i="14" s="1"/>
  <c r="CQ26" i="5"/>
  <c r="W5" i="14" s="1"/>
  <c r="CQ36" i="5"/>
  <c r="W15" i="14" s="1"/>
  <c r="CQ34" i="5"/>
  <c r="W13" i="14" s="1"/>
  <c r="L34" i="5"/>
  <c r="L33" i="5"/>
  <c r="L30" i="5"/>
  <c r="BE52" i="5"/>
  <c r="BF52" i="5" s="1"/>
  <c r="AD52" i="5"/>
  <c r="AE52" i="5" s="1"/>
  <c r="AG40" i="5"/>
  <c r="X38" i="5"/>
  <c r="O31" i="1" s="1"/>
  <c r="U47" i="5"/>
  <c r="AU32" i="5"/>
  <c r="AS46" i="5" s="1"/>
  <c r="AP43" i="5"/>
  <c r="BN57" i="5"/>
  <c r="BO57" i="5" s="1"/>
  <c r="BN56" i="5"/>
  <c r="BO56" i="5" s="1"/>
  <c r="BE56" i="5"/>
  <c r="BF56" i="5" s="1"/>
  <c r="BE57" i="5"/>
  <c r="BF57" i="5" s="1"/>
  <c r="BH46" i="5"/>
  <c r="BH32" i="5"/>
  <c r="BH41" i="5" s="1"/>
  <c r="BE43" i="5"/>
  <c r="AG32" i="5"/>
  <c r="AG41" i="5" s="1"/>
  <c r="AD43" i="5"/>
  <c r="BQ46" i="5"/>
  <c r="AS44" i="5"/>
  <c r="BN52" i="5"/>
  <c r="BO52" i="5" s="1"/>
  <c r="BQ40" i="5"/>
  <c r="AI46" i="5"/>
  <c r="BS46" i="5"/>
  <c r="BR46" i="5"/>
  <c r="AP41" i="5"/>
  <c r="CG38" i="5"/>
  <c r="CH38" i="5"/>
  <c r="CN26" i="5"/>
  <c r="BI46" i="5"/>
  <c r="BH44" i="5"/>
  <c r="BE41" i="5"/>
  <c r="BJ46" i="5"/>
  <c r="AG46" i="5"/>
  <c r="BQ44" i="5"/>
  <c r="BN43" i="5"/>
  <c r="BQ32" i="5"/>
  <c r="BT44" i="5" s="1"/>
  <c r="BX38" i="5"/>
  <c r="BY38" i="5"/>
  <c r="CE26" i="5"/>
  <c r="N29" i="5"/>
  <c r="E8" i="12" s="1"/>
  <c r="N37" i="5"/>
  <c r="M29" i="5"/>
  <c r="M37" i="5"/>
  <c r="O38" i="5"/>
  <c r="L47" i="5"/>
  <c r="CQ47" i="5"/>
  <c r="CP47" i="5"/>
  <c r="CO38" i="5"/>
  <c r="CW29" i="5"/>
  <c r="AC8" i="14" s="1"/>
  <c r="E29" i="5"/>
  <c r="E37" i="5"/>
  <c r="E42" i="5" s="1"/>
  <c r="D29" i="5"/>
  <c r="D40" i="5" s="1"/>
  <c r="D37" i="5"/>
  <c r="C47" i="5"/>
  <c r="F38" i="5"/>
  <c r="F13" i="6"/>
  <c r="H14" i="6"/>
  <c r="BX9" i="6"/>
  <c r="BZ10" i="6"/>
  <c r="CF18" i="6"/>
  <c r="CX18" i="6"/>
  <c r="CF19" i="6"/>
  <c r="CX19" i="6"/>
  <c r="BH16" i="6"/>
  <c r="BI16" i="6" s="1"/>
  <c r="AX16" i="6"/>
  <c r="BC15" i="6"/>
  <c r="BG15" i="6"/>
  <c r="M12" i="6"/>
  <c r="N13" i="6"/>
  <c r="AQ11" i="6"/>
  <c r="AS12" i="6"/>
  <c r="AG13" i="6"/>
  <c r="AE12" i="6"/>
  <c r="S15" i="6"/>
  <c r="AA15" i="6" s="1"/>
  <c r="AK12" i="6"/>
  <c r="AM13" i="6"/>
  <c r="X14" i="6"/>
  <c r="W13" i="6"/>
  <c r="AW12" i="6"/>
  <c r="C10" i="12" l="1"/>
  <c r="C10" i="14" s="1"/>
  <c r="V29" i="5"/>
  <c r="W29" i="5"/>
  <c r="W40" i="5" s="1"/>
  <c r="U27" i="5"/>
  <c r="C6" i="12"/>
  <c r="C6" i="14" s="1"/>
  <c r="E7" i="13"/>
  <c r="U17" i="14"/>
  <c r="AR31" i="1"/>
  <c r="H5" i="13"/>
  <c r="E21" i="13" s="1"/>
  <c r="F17" i="12"/>
  <c r="M40" i="5"/>
  <c r="D8" i="12"/>
  <c r="E8" i="14"/>
  <c r="E19" i="12"/>
  <c r="BY47" i="5"/>
  <c r="AL31" i="1"/>
  <c r="CG47" i="5"/>
  <c r="AO31" i="1"/>
  <c r="W17" i="12"/>
  <c r="W26" i="12" s="1"/>
  <c r="G8" i="13"/>
  <c r="V17" i="12"/>
  <c r="V26" i="12" s="1"/>
  <c r="F8" i="13"/>
  <c r="H153" i="1"/>
  <c r="H163" i="1"/>
  <c r="J54" i="1"/>
  <c r="E131" i="1" s="1"/>
  <c r="J55" i="1"/>
  <c r="E132" i="1" s="1"/>
  <c r="J56" i="1"/>
  <c r="E133" i="1" s="1"/>
  <c r="J59" i="1"/>
  <c r="E136" i="1" s="1"/>
  <c r="J57" i="1"/>
  <c r="E134" i="1" s="1"/>
  <c r="J60" i="1"/>
  <c r="E137" i="1" s="1"/>
  <c r="J58" i="1"/>
  <c r="E135" i="1" s="1"/>
  <c r="M48" i="1"/>
  <c r="F99" i="1" s="1"/>
  <c r="M49" i="1"/>
  <c r="F100" i="1" s="1"/>
  <c r="M46" i="1"/>
  <c r="F97" i="1" s="1"/>
  <c r="M44" i="1"/>
  <c r="F95" i="1" s="1"/>
  <c r="M45" i="1"/>
  <c r="F96" i="1" s="1"/>
  <c r="M42" i="1"/>
  <c r="F93" i="1" s="1"/>
  <c r="M47" i="1"/>
  <c r="F98" i="1" s="1"/>
  <c r="M50" i="1"/>
  <c r="F101" i="1" s="1"/>
  <c r="M43" i="1"/>
  <c r="F94" i="1" s="1"/>
  <c r="M51" i="1"/>
  <c r="F102" i="1" s="1"/>
  <c r="I50" i="1"/>
  <c r="E101" i="1" s="1"/>
  <c r="I48" i="1"/>
  <c r="E99" i="1" s="1"/>
  <c r="I44" i="1"/>
  <c r="E95" i="1" s="1"/>
  <c r="I51" i="1"/>
  <c r="E102" i="1" s="1"/>
  <c r="I45" i="1"/>
  <c r="E96" i="1" s="1"/>
  <c r="I43" i="1"/>
  <c r="E94" i="1" s="1"/>
  <c r="I42" i="1"/>
  <c r="E93" i="1" s="1"/>
  <c r="I46" i="1"/>
  <c r="E97" i="1" s="1"/>
  <c r="I47" i="1"/>
  <c r="E98" i="1" s="1"/>
  <c r="I49" i="1"/>
  <c r="E100" i="1" s="1"/>
  <c r="N46" i="1"/>
  <c r="F122" i="1" s="1"/>
  <c r="N50" i="1"/>
  <c r="F126" i="1" s="1"/>
  <c r="N48" i="1"/>
  <c r="F124" i="1" s="1"/>
  <c r="N49" i="1"/>
  <c r="F125" i="1" s="1"/>
  <c r="N42" i="1"/>
  <c r="F118" i="1" s="1"/>
  <c r="N45" i="1"/>
  <c r="F121" i="1" s="1"/>
  <c r="N44" i="1"/>
  <c r="F120" i="1" s="1"/>
  <c r="N47" i="1"/>
  <c r="F123" i="1" s="1"/>
  <c r="N43" i="1"/>
  <c r="F119" i="1" s="1"/>
  <c r="N51" i="1"/>
  <c r="F127" i="1" s="1"/>
  <c r="L58" i="1"/>
  <c r="F85" i="1" s="1"/>
  <c r="L54" i="1"/>
  <c r="F81" i="1" s="1"/>
  <c r="L56" i="1"/>
  <c r="F83" i="1" s="1"/>
  <c r="L60" i="1"/>
  <c r="F87" i="1" s="1"/>
  <c r="L57" i="1"/>
  <c r="F84" i="1" s="1"/>
  <c r="L55" i="1"/>
  <c r="F82" i="1" s="1"/>
  <c r="L59" i="1"/>
  <c r="F86" i="1" s="1"/>
  <c r="C17" i="14"/>
  <c r="C26" i="12"/>
  <c r="H61" i="1"/>
  <c r="E12" i="14"/>
  <c r="BT14" i="6"/>
  <c r="I14" i="6"/>
  <c r="U33" i="5"/>
  <c r="X33" i="5" s="1"/>
  <c r="C12" i="12"/>
  <c r="M42" i="5"/>
  <c r="F13" i="13"/>
  <c r="D16" i="12"/>
  <c r="D21" i="12" s="1"/>
  <c r="N42" i="5"/>
  <c r="G13" i="13"/>
  <c r="E16" i="12"/>
  <c r="BX47" i="5"/>
  <c r="AK31" i="1"/>
  <c r="CH47" i="5"/>
  <c r="AP31" i="1"/>
  <c r="O52" i="1"/>
  <c r="O61" i="1"/>
  <c r="U26" i="5"/>
  <c r="X26" i="5" s="1"/>
  <c r="U44" i="5" s="1"/>
  <c r="C5" i="12"/>
  <c r="C5" i="14" s="1"/>
  <c r="U28" i="5"/>
  <c r="X28" i="5" s="1"/>
  <c r="W46" i="5" s="1"/>
  <c r="C7" i="12"/>
  <c r="C7" i="14" s="1"/>
  <c r="N5" i="13"/>
  <c r="O5" i="13"/>
  <c r="J47" i="1"/>
  <c r="E123" i="1" s="1"/>
  <c r="J43" i="1"/>
  <c r="E119" i="1" s="1"/>
  <c r="J46" i="1"/>
  <c r="E122" i="1" s="1"/>
  <c r="J44" i="1"/>
  <c r="E120" i="1" s="1"/>
  <c r="J48" i="1"/>
  <c r="E124" i="1" s="1"/>
  <c r="J51" i="1"/>
  <c r="E127" i="1" s="1"/>
  <c r="J50" i="1"/>
  <c r="E126" i="1" s="1"/>
  <c r="J45" i="1"/>
  <c r="E121" i="1" s="1"/>
  <c r="J42" i="1"/>
  <c r="E118" i="1" s="1"/>
  <c r="J49" i="1"/>
  <c r="E125" i="1" s="1"/>
  <c r="M58" i="1"/>
  <c r="F110" i="1" s="1"/>
  <c r="M59" i="1"/>
  <c r="F111" i="1" s="1"/>
  <c r="M56" i="1"/>
  <c r="F108" i="1" s="1"/>
  <c r="M54" i="1"/>
  <c r="F106" i="1" s="1"/>
  <c r="M55" i="1"/>
  <c r="F107" i="1" s="1"/>
  <c r="M57" i="1"/>
  <c r="F109" i="1" s="1"/>
  <c r="M60" i="1"/>
  <c r="F112" i="1" s="1"/>
  <c r="I59" i="1"/>
  <c r="E111" i="1" s="1"/>
  <c r="I60" i="1"/>
  <c r="E112" i="1" s="1"/>
  <c r="I57" i="1"/>
  <c r="E109" i="1" s="1"/>
  <c r="I55" i="1"/>
  <c r="E107" i="1" s="1"/>
  <c r="I56" i="1"/>
  <c r="E108" i="1" s="1"/>
  <c r="I58" i="1"/>
  <c r="E110" i="1" s="1"/>
  <c r="I54" i="1"/>
  <c r="E106" i="1" s="1"/>
  <c r="N58" i="1"/>
  <c r="F135" i="1" s="1"/>
  <c r="N57" i="1"/>
  <c r="F134" i="1" s="1"/>
  <c r="N56" i="1"/>
  <c r="F133" i="1" s="1"/>
  <c r="N54" i="1"/>
  <c r="F131" i="1" s="1"/>
  <c r="N60" i="1"/>
  <c r="F137" i="1" s="1"/>
  <c r="N55" i="1"/>
  <c r="F132" i="1" s="1"/>
  <c r="N59" i="1"/>
  <c r="F136" i="1" s="1"/>
  <c r="D12" i="14"/>
  <c r="L42" i="1"/>
  <c r="F68" i="1" s="1"/>
  <c r="L43" i="1"/>
  <c r="F69" i="1" s="1"/>
  <c r="L45" i="1"/>
  <c r="F71" i="1" s="1"/>
  <c r="L47" i="1"/>
  <c r="F73" i="1" s="1"/>
  <c r="L49" i="1"/>
  <c r="F75" i="1" s="1"/>
  <c r="L51" i="1"/>
  <c r="F77" i="1" s="1"/>
  <c r="L44" i="1"/>
  <c r="F70" i="1" s="1"/>
  <c r="L46" i="1"/>
  <c r="F72" i="1" s="1"/>
  <c r="L48" i="1"/>
  <c r="F74" i="1" s="1"/>
  <c r="L50" i="1"/>
  <c r="F76" i="1" s="1"/>
  <c r="K7" i="13"/>
  <c r="DF26" i="5"/>
  <c r="CY38" i="5"/>
  <c r="CY27" i="5" s="1"/>
  <c r="CZ38" i="5"/>
  <c r="CZ36" i="5" s="1"/>
  <c r="I5" i="13"/>
  <c r="F9" i="13"/>
  <c r="J7" i="13"/>
  <c r="EJ47" i="5"/>
  <c r="BN31" i="1"/>
  <c r="DI47" i="5"/>
  <c r="BB31" i="1"/>
  <c r="EI47" i="5"/>
  <c r="BM31" i="1"/>
  <c r="DR47" i="5"/>
  <c r="BF31" i="1"/>
  <c r="EA47" i="5"/>
  <c r="BJ31" i="1"/>
  <c r="DQ47" i="5"/>
  <c r="BE31" i="1"/>
  <c r="DZ47" i="5"/>
  <c r="BI31" i="1"/>
  <c r="DO29" i="5"/>
  <c r="C49" i="5"/>
  <c r="D49" i="5" s="1"/>
  <c r="G31" i="1"/>
  <c r="L49" i="5"/>
  <c r="M49" i="5" s="1"/>
  <c r="K31" i="1"/>
  <c r="EH38" i="5"/>
  <c r="E8" i="13" s="1"/>
  <c r="EP29" i="5"/>
  <c r="AC8" i="12" s="1"/>
  <c r="DJ38" i="5"/>
  <c r="BC31" i="1" s="1"/>
  <c r="DG47" i="5"/>
  <c r="DP38" i="5"/>
  <c r="BD31" i="1" s="1"/>
  <c r="DX29" i="5"/>
  <c r="DY38" i="5"/>
  <c r="BH31" i="1" s="1"/>
  <c r="EG29" i="5"/>
  <c r="CO35" i="5"/>
  <c r="U14" i="14" s="1"/>
  <c r="CO33" i="5"/>
  <c r="U12" i="14" s="1"/>
  <c r="CO31" i="5"/>
  <c r="U10" i="14" s="1"/>
  <c r="CO30" i="5"/>
  <c r="U9" i="14" s="1"/>
  <c r="CO28" i="5"/>
  <c r="U7" i="14" s="1"/>
  <c r="CO27" i="5"/>
  <c r="U6" i="14" s="1"/>
  <c r="CO26" i="5"/>
  <c r="U5" i="14" s="1"/>
  <c r="CO36" i="5"/>
  <c r="U15" i="14" s="1"/>
  <c r="CO34" i="5"/>
  <c r="U13" i="14" s="1"/>
  <c r="EI26" i="5"/>
  <c r="V5" i="12" s="1"/>
  <c r="DZ26" i="5"/>
  <c r="DH26" i="5"/>
  <c r="DQ26" i="5"/>
  <c r="CY26" i="5"/>
  <c r="EI28" i="5"/>
  <c r="V7" i="12" s="1"/>
  <c r="V31" i="12" s="1"/>
  <c r="DZ28" i="5"/>
  <c r="DQ28" i="5"/>
  <c r="CY28" i="5"/>
  <c r="DH28" i="5"/>
  <c r="EI31" i="5"/>
  <c r="V10" i="12" s="1"/>
  <c r="DZ31" i="5"/>
  <c r="DQ31" i="5"/>
  <c r="DH31" i="5"/>
  <c r="CY31" i="5"/>
  <c r="EI35" i="5"/>
  <c r="V14" i="12" s="1"/>
  <c r="DZ35" i="5"/>
  <c r="DQ35" i="5"/>
  <c r="CY35" i="5"/>
  <c r="DH35" i="5"/>
  <c r="EI36" i="5"/>
  <c r="V15" i="12" s="1"/>
  <c r="DZ36" i="5"/>
  <c r="DQ36" i="5"/>
  <c r="DH36" i="5"/>
  <c r="CY36" i="5"/>
  <c r="EJ36" i="5"/>
  <c r="W15" i="12" s="1"/>
  <c r="EA36" i="5"/>
  <c r="DR36" i="5"/>
  <c r="DI36" i="5"/>
  <c r="EJ27" i="5"/>
  <c r="W6" i="12" s="1"/>
  <c r="W30" i="12" s="1"/>
  <c r="EA27" i="5"/>
  <c r="DR27" i="5"/>
  <c r="DI27" i="5"/>
  <c r="EJ30" i="5"/>
  <c r="W9" i="12" s="1"/>
  <c r="EA30" i="5"/>
  <c r="DR30" i="5"/>
  <c r="DI30" i="5"/>
  <c r="EJ33" i="5"/>
  <c r="W12" i="12" s="1"/>
  <c r="EA33" i="5"/>
  <c r="DR33" i="5"/>
  <c r="DI33" i="5"/>
  <c r="CZ33" i="5"/>
  <c r="EI27" i="5"/>
  <c r="V6" i="12" s="1"/>
  <c r="V30" i="12" s="1"/>
  <c r="DZ27" i="5"/>
  <c r="DQ27" i="5"/>
  <c r="DH27" i="5"/>
  <c r="EI30" i="5"/>
  <c r="V9" i="12" s="1"/>
  <c r="DZ30" i="5"/>
  <c r="DQ30" i="5"/>
  <c r="DH30" i="5"/>
  <c r="EI33" i="5"/>
  <c r="V12" i="12" s="1"/>
  <c r="DZ33" i="5"/>
  <c r="DQ33" i="5"/>
  <c r="DH33" i="5"/>
  <c r="EI34" i="5"/>
  <c r="V13" i="12" s="1"/>
  <c r="DZ34" i="5"/>
  <c r="DQ34" i="5"/>
  <c r="DH34" i="5"/>
  <c r="CY34" i="5"/>
  <c r="EJ34" i="5"/>
  <c r="W13" i="12" s="1"/>
  <c r="EA34" i="5"/>
  <c r="DR34" i="5"/>
  <c r="DI34" i="5"/>
  <c r="CZ34" i="5"/>
  <c r="EJ26" i="5"/>
  <c r="W5" i="12" s="1"/>
  <c r="EA26" i="5"/>
  <c r="DR26" i="5"/>
  <c r="DI26" i="5"/>
  <c r="EA28" i="5"/>
  <c r="DR28" i="5"/>
  <c r="DI28" i="5"/>
  <c r="EJ28" i="5"/>
  <c r="W7" i="12" s="1"/>
  <c r="W31" i="12" s="1"/>
  <c r="W52" i="12" s="1"/>
  <c r="EJ31" i="5"/>
  <c r="W10" i="12" s="1"/>
  <c r="EA31" i="5"/>
  <c r="DR31" i="5"/>
  <c r="DI31" i="5"/>
  <c r="EJ35" i="5"/>
  <c r="W14" i="12" s="1"/>
  <c r="EA35" i="5"/>
  <c r="DR35" i="5"/>
  <c r="DI35" i="5"/>
  <c r="BK44" i="5"/>
  <c r="AJ44" i="5"/>
  <c r="BQ41" i="5"/>
  <c r="D56" i="5"/>
  <c r="O31" i="5"/>
  <c r="U31" i="5"/>
  <c r="CG31" i="5"/>
  <c r="BX31" i="5"/>
  <c r="CG36" i="5"/>
  <c r="BX36" i="5"/>
  <c r="CG26" i="5"/>
  <c r="BX26" i="5"/>
  <c r="BX30" i="5"/>
  <c r="CG30" i="5"/>
  <c r="BY26" i="5"/>
  <c r="CH26" i="5"/>
  <c r="BY30" i="5"/>
  <c r="CH30" i="5"/>
  <c r="CH31" i="5"/>
  <c r="BY31" i="5"/>
  <c r="CH36" i="5"/>
  <c r="BY36" i="5"/>
  <c r="CF38" i="5"/>
  <c r="AN31" i="1" s="1"/>
  <c r="CN29" i="5"/>
  <c r="V32" i="5"/>
  <c r="V43" i="5" s="1"/>
  <c r="AL32" i="5"/>
  <c r="AJ46" i="5" s="1"/>
  <c r="AG43" i="5"/>
  <c r="X27" i="5"/>
  <c r="V46" i="5" s="1"/>
  <c r="CG27" i="5"/>
  <c r="BX27" i="5"/>
  <c r="CG33" i="5"/>
  <c r="BX33" i="5"/>
  <c r="CG34" i="5"/>
  <c r="BX34" i="5"/>
  <c r="BX28" i="5"/>
  <c r="CG28" i="5"/>
  <c r="BX35" i="5"/>
  <c r="CG35" i="5"/>
  <c r="CH28" i="5"/>
  <c r="BY28" i="5"/>
  <c r="BY35" i="5"/>
  <c r="CH35" i="5"/>
  <c r="CH27" i="5"/>
  <c r="BY27" i="5"/>
  <c r="CH33" i="5"/>
  <c r="BY33" i="5"/>
  <c r="CH34" i="5"/>
  <c r="BY34" i="5"/>
  <c r="BW38" i="5"/>
  <c r="AJ31" i="1" s="1"/>
  <c r="CE29" i="5"/>
  <c r="BV32" i="5"/>
  <c r="BT46" i="5" s="1"/>
  <c r="BQ43" i="5"/>
  <c r="V40" i="5"/>
  <c r="BM32" i="5"/>
  <c r="BK46" i="5" s="1"/>
  <c r="BH43" i="5"/>
  <c r="X47" i="5"/>
  <c r="U49" i="5"/>
  <c r="V49" i="5" s="1"/>
  <c r="F34" i="5"/>
  <c r="C13" i="12"/>
  <c r="C13" i="14" s="1"/>
  <c r="O26" i="5"/>
  <c r="L29" i="5"/>
  <c r="C8" i="12" s="1"/>
  <c r="N32" i="5"/>
  <c r="O28" i="5"/>
  <c r="F35" i="5"/>
  <c r="C14" i="12"/>
  <c r="C14" i="14" s="1"/>
  <c r="O27" i="5"/>
  <c r="O33" i="5"/>
  <c r="F12" i="12" s="1"/>
  <c r="F36" i="5"/>
  <c r="C15" i="12"/>
  <c r="C15" i="14" s="1"/>
  <c r="O47" i="5"/>
  <c r="M32" i="5"/>
  <c r="N40" i="5"/>
  <c r="CQ29" i="5"/>
  <c r="W8" i="14" s="1"/>
  <c r="CR38" i="5"/>
  <c r="CO47" i="5"/>
  <c r="CP29" i="5"/>
  <c r="V8" i="14" s="1"/>
  <c r="CP37" i="5"/>
  <c r="CQ37" i="5"/>
  <c r="C29" i="5"/>
  <c r="C40" i="5" s="1"/>
  <c r="F28" i="5"/>
  <c r="E46" i="5" s="1"/>
  <c r="F47" i="5"/>
  <c r="F27" i="5"/>
  <c r="D46" i="5" s="1"/>
  <c r="F33" i="5"/>
  <c r="C37" i="5"/>
  <c r="C42" i="5" s="1"/>
  <c r="E32" i="5"/>
  <c r="E43" i="5" s="1"/>
  <c r="F30" i="5"/>
  <c r="F26" i="5"/>
  <c r="F31" i="5"/>
  <c r="H44" i="5" s="1"/>
  <c r="D42" i="5"/>
  <c r="D32" i="5"/>
  <c r="D43" i="5" s="1"/>
  <c r="E40" i="5"/>
  <c r="F12" i="6"/>
  <c r="H13" i="6"/>
  <c r="CJ10" i="6"/>
  <c r="CJ11" i="6" s="1"/>
  <c r="CL11" i="6" s="1"/>
  <c r="CF10" i="6"/>
  <c r="BZ9" i="6"/>
  <c r="BX8" i="6"/>
  <c r="BZ8" i="6" s="1"/>
  <c r="BH15" i="6"/>
  <c r="BI15" i="6" s="1"/>
  <c r="AX15" i="6"/>
  <c r="M11" i="6"/>
  <c r="N12" i="6"/>
  <c r="BC14" i="6"/>
  <c r="BG14" i="6"/>
  <c r="AK11" i="6"/>
  <c r="AM12" i="6"/>
  <c r="AQ10" i="6"/>
  <c r="AS11" i="6"/>
  <c r="AW11" i="6"/>
  <c r="S14" i="6"/>
  <c r="AA14" i="6" s="1"/>
  <c r="AE11" i="6"/>
  <c r="AG12" i="6"/>
  <c r="X13" i="6"/>
  <c r="W12" i="6"/>
  <c r="CZ35" i="5" l="1"/>
  <c r="CZ31" i="5"/>
  <c r="CZ28" i="5"/>
  <c r="CZ26" i="5"/>
  <c r="CZ30" i="5"/>
  <c r="CZ27" i="5"/>
  <c r="W32" i="5"/>
  <c r="W43" i="5" s="1"/>
  <c r="CY33" i="5"/>
  <c r="CY30" i="5"/>
  <c r="U29" i="5"/>
  <c r="CP42" i="5"/>
  <c r="F15" i="13"/>
  <c r="V16" i="14"/>
  <c r="V19" i="14" s="1"/>
  <c r="M43" i="5"/>
  <c r="D11" i="12"/>
  <c r="D20" i="12" s="1"/>
  <c r="F12" i="14"/>
  <c r="N46" i="5"/>
  <c r="F7" i="12"/>
  <c r="AJ52" i="1"/>
  <c r="AJ61" i="1"/>
  <c r="T31" i="5"/>
  <c r="F10" i="12"/>
  <c r="U30" i="5"/>
  <c r="C9" i="12"/>
  <c r="C9" i="14" s="1"/>
  <c r="E9" i="13"/>
  <c r="E10" i="13"/>
  <c r="M5" i="13"/>
  <c r="AW31" i="1"/>
  <c r="CY47" i="5"/>
  <c r="O7" i="13"/>
  <c r="O58" i="1"/>
  <c r="F160" i="1" s="1"/>
  <c r="O55" i="1"/>
  <c r="F157" i="1" s="1"/>
  <c r="O60" i="1"/>
  <c r="F162" i="1" s="1"/>
  <c r="O54" i="1"/>
  <c r="F156" i="1" s="1"/>
  <c r="O56" i="1"/>
  <c r="F158" i="1" s="1"/>
  <c r="O50" i="1"/>
  <c r="F151" i="1" s="1"/>
  <c r="O48" i="1"/>
  <c r="F149" i="1" s="1"/>
  <c r="O59" i="1"/>
  <c r="F161" i="1" s="1"/>
  <c r="O51" i="1"/>
  <c r="F152" i="1" s="1"/>
  <c r="O47" i="1"/>
  <c r="F148" i="1" s="1"/>
  <c r="O43" i="1"/>
  <c r="F144" i="1" s="1"/>
  <c r="O46" i="1"/>
  <c r="F147" i="1" s="1"/>
  <c r="O44" i="1"/>
  <c r="F145" i="1" s="1"/>
  <c r="O57" i="1"/>
  <c r="F159" i="1" s="1"/>
  <c r="O49" i="1"/>
  <c r="F150" i="1" s="1"/>
  <c r="O45" i="1"/>
  <c r="F146" i="1" s="1"/>
  <c r="O42" i="1"/>
  <c r="F143" i="1" s="1"/>
  <c r="K13" i="13"/>
  <c r="G33" i="13"/>
  <c r="D65" i="12"/>
  <c r="D16" i="14"/>
  <c r="D19" i="14" s="1"/>
  <c r="H55" i="1"/>
  <c r="E82" i="1" s="1"/>
  <c r="H59" i="1"/>
  <c r="E86" i="1" s="1"/>
  <c r="H54" i="1"/>
  <c r="E81" i="1" s="1"/>
  <c r="H57" i="1"/>
  <c r="E84" i="1" s="1"/>
  <c r="H58" i="1"/>
  <c r="E85" i="1" s="1"/>
  <c r="H56" i="1"/>
  <c r="E83" i="1" s="1"/>
  <c r="H60" i="1"/>
  <c r="E87" i="1" s="1"/>
  <c r="E103" i="1"/>
  <c r="F103" i="1"/>
  <c r="F10" i="13"/>
  <c r="G9" i="13"/>
  <c r="G10" i="13"/>
  <c r="AL52" i="1"/>
  <c r="AL61" i="1"/>
  <c r="L5" i="13"/>
  <c r="H21" i="13"/>
  <c r="G21" i="13"/>
  <c r="F21" i="13"/>
  <c r="C8" i="14"/>
  <c r="C19" i="12"/>
  <c r="BT13" i="6"/>
  <c r="I13" i="6"/>
  <c r="CQ42" i="5"/>
  <c r="W16" i="14"/>
  <c r="W19" i="14" s="1"/>
  <c r="G15" i="13"/>
  <c r="H7" i="13"/>
  <c r="X17" i="14"/>
  <c r="AU31" i="1"/>
  <c r="M46" i="5"/>
  <c r="F6" i="12"/>
  <c r="N43" i="5"/>
  <c r="E11" i="12"/>
  <c r="L44" i="5"/>
  <c r="F5" i="12"/>
  <c r="K61" i="1"/>
  <c r="K52" i="1"/>
  <c r="N7" i="13"/>
  <c r="AX31" i="1"/>
  <c r="CZ47" i="5"/>
  <c r="CX38" i="5"/>
  <c r="CX36" i="5" s="1"/>
  <c r="DA36" i="5" s="1"/>
  <c r="DF29" i="5"/>
  <c r="F78" i="1"/>
  <c r="F138" i="1"/>
  <c r="E113" i="1"/>
  <c r="F113" i="1"/>
  <c r="E128" i="1"/>
  <c r="AK61" i="1"/>
  <c r="AK52" i="1"/>
  <c r="E16" i="14"/>
  <c r="E19" i="14" s="1"/>
  <c r="E65" i="12"/>
  <c r="J13" i="13"/>
  <c r="F33" i="13"/>
  <c r="C12" i="14"/>
  <c r="E21" i="12"/>
  <c r="H43" i="1"/>
  <c r="E69" i="1" s="1"/>
  <c r="H45" i="1"/>
  <c r="E71" i="1" s="1"/>
  <c r="H51" i="1"/>
  <c r="E77" i="1" s="1"/>
  <c r="H44" i="1"/>
  <c r="E70" i="1" s="1"/>
  <c r="H48" i="1"/>
  <c r="E74" i="1" s="1"/>
  <c r="H49" i="1"/>
  <c r="E75" i="1" s="1"/>
  <c r="H47" i="1"/>
  <c r="E73" i="1" s="1"/>
  <c r="H42" i="1"/>
  <c r="E68" i="1" s="1"/>
  <c r="H46" i="1"/>
  <c r="E72" i="1" s="1"/>
  <c r="H50" i="1"/>
  <c r="E76" i="1" s="1"/>
  <c r="F88" i="1"/>
  <c r="F128" i="1"/>
  <c r="E138" i="1"/>
  <c r="D19" i="12"/>
  <c r="D8" i="14"/>
  <c r="F17" i="14"/>
  <c r="F26" i="12"/>
  <c r="I7" i="13"/>
  <c r="E23" i="13"/>
  <c r="V29" i="12"/>
  <c r="V50" i="12" s="1"/>
  <c r="W29" i="12"/>
  <c r="W51" i="12"/>
  <c r="V51" i="12"/>
  <c r="V52" i="12"/>
  <c r="BL31" i="1"/>
  <c r="U17" i="12"/>
  <c r="U26" i="12" s="1"/>
  <c r="DY47" i="5"/>
  <c r="EB38" i="5"/>
  <c r="BK31" i="1" s="1"/>
  <c r="DP47" i="5"/>
  <c r="DS38" i="5"/>
  <c r="BG31" i="1" s="1"/>
  <c r="DJ47" i="5"/>
  <c r="EK38" i="5"/>
  <c r="H8" i="13" s="1"/>
  <c r="E24" i="13" s="1"/>
  <c r="EH47" i="5"/>
  <c r="DH37" i="5"/>
  <c r="DH42" i="5" s="1"/>
  <c r="DZ37" i="5"/>
  <c r="DZ42" i="5" s="1"/>
  <c r="DR37" i="5"/>
  <c r="DR42" i="5" s="1"/>
  <c r="EJ37" i="5"/>
  <c r="G16" i="13" s="1"/>
  <c r="DR29" i="5"/>
  <c r="EJ29" i="5"/>
  <c r="W8" i="12" s="1"/>
  <c r="CZ37" i="5"/>
  <c r="CZ42" i="5" s="1"/>
  <c r="CY29" i="5"/>
  <c r="CY40" i="5" s="1"/>
  <c r="DH29" i="5"/>
  <c r="DH40" i="5" s="1"/>
  <c r="EI29" i="5"/>
  <c r="EH36" i="5"/>
  <c r="DG36" i="5"/>
  <c r="DJ36" i="5" s="1"/>
  <c r="DY36" i="5"/>
  <c r="EB36" i="5" s="1"/>
  <c r="DP36" i="5"/>
  <c r="DS36" i="5" s="1"/>
  <c r="EH27" i="5"/>
  <c r="U6" i="12" s="1"/>
  <c r="DY27" i="5"/>
  <c r="DP27" i="5"/>
  <c r="DG27" i="5"/>
  <c r="CX27" i="5"/>
  <c r="DY30" i="5"/>
  <c r="DP30" i="5"/>
  <c r="EH30" i="5"/>
  <c r="U9" i="12" s="1"/>
  <c r="DG30" i="5"/>
  <c r="DY33" i="5"/>
  <c r="DP33" i="5"/>
  <c r="EH33" i="5"/>
  <c r="U12" i="12" s="1"/>
  <c r="DG33" i="5"/>
  <c r="CX33" i="5"/>
  <c r="DI29" i="5"/>
  <c r="DI40" i="5" s="1"/>
  <c r="EA29" i="5"/>
  <c r="EA40" i="5" s="1"/>
  <c r="CY37" i="5"/>
  <c r="CY42" i="5" s="1"/>
  <c r="DQ37" i="5"/>
  <c r="DQ42" i="5" s="1"/>
  <c r="EI37" i="5"/>
  <c r="F16" i="13" s="1"/>
  <c r="DI37" i="5"/>
  <c r="DI42" i="5" s="1"/>
  <c r="EA37" i="5"/>
  <c r="EA42" i="5" s="1"/>
  <c r="DQ29" i="5"/>
  <c r="DZ29" i="5"/>
  <c r="EH34" i="5"/>
  <c r="DG34" i="5"/>
  <c r="DJ34" i="5" s="1"/>
  <c r="CX34" i="5"/>
  <c r="DA34" i="5" s="1"/>
  <c r="DY34" i="5"/>
  <c r="EB34" i="5" s="1"/>
  <c r="DP34" i="5"/>
  <c r="DS34" i="5" s="1"/>
  <c r="DY26" i="5"/>
  <c r="DP26" i="5"/>
  <c r="EH26" i="5"/>
  <c r="U5" i="12" s="1"/>
  <c r="DG26" i="5"/>
  <c r="DG28" i="5"/>
  <c r="EH28" i="5"/>
  <c r="U7" i="12" s="1"/>
  <c r="DY28" i="5"/>
  <c r="DP28" i="5"/>
  <c r="EH31" i="5"/>
  <c r="U10" i="12" s="1"/>
  <c r="DG31" i="5"/>
  <c r="DY31" i="5"/>
  <c r="DP31" i="5"/>
  <c r="DY35" i="5"/>
  <c r="EB35" i="5" s="1"/>
  <c r="DP35" i="5"/>
  <c r="DS35" i="5" s="1"/>
  <c r="EH35" i="5"/>
  <c r="DG35" i="5"/>
  <c r="DJ35" i="5" s="1"/>
  <c r="CX35" i="5"/>
  <c r="DA35" i="5" s="1"/>
  <c r="Q44" i="5"/>
  <c r="O30" i="5"/>
  <c r="V41" i="5"/>
  <c r="N41" i="5"/>
  <c r="V44" i="5"/>
  <c r="W44" i="5"/>
  <c r="CR30" i="5"/>
  <c r="BW30" i="5"/>
  <c r="CF30" i="5"/>
  <c r="BW35" i="5"/>
  <c r="BZ35" i="5" s="1"/>
  <c r="CF35" i="5"/>
  <c r="CI35" i="5" s="1"/>
  <c r="BW26" i="5"/>
  <c r="CF26" i="5"/>
  <c r="CF31" i="5"/>
  <c r="BW31" i="5"/>
  <c r="CR34" i="5"/>
  <c r="X13" i="14" s="1"/>
  <c r="CF34" i="5"/>
  <c r="CI34" i="5" s="1"/>
  <c r="BW34" i="5"/>
  <c r="BZ34" i="5" s="1"/>
  <c r="O36" i="5"/>
  <c r="F15" i="12" s="1"/>
  <c r="F15" i="14" s="1"/>
  <c r="U36" i="5"/>
  <c r="X36" i="5" s="1"/>
  <c r="O35" i="5"/>
  <c r="F14" i="12" s="1"/>
  <c r="F14" i="14" s="1"/>
  <c r="U35" i="5"/>
  <c r="X35" i="5" s="1"/>
  <c r="O34" i="5"/>
  <c r="F13" i="12" s="1"/>
  <c r="F13" i="14" s="1"/>
  <c r="U34" i="5"/>
  <c r="BW47" i="5"/>
  <c r="BZ38" i="5"/>
  <c r="AM31" i="1" s="1"/>
  <c r="CH37" i="5"/>
  <c r="CH42" i="5" s="1"/>
  <c r="CG37" i="5"/>
  <c r="CG42" i="5" s="1"/>
  <c r="CH29" i="5"/>
  <c r="CH40" i="5" s="1"/>
  <c r="BX29" i="5"/>
  <c r="BX40" i="5" s="1"/>
  <c r="X31" i="5"/>
  <c r="Z44" i="5" s="1"/>
  <c r="X29" i="5"/>
  <c r="X44" i="5" s="1"/>
  <c r="CF28" i="5"/>
  <c r="BW28" i="5"/>
  <c r="CF33" i="5"/>
  <c r="BW33" i="5"/>
  <c r="CF27" i="5"/>
  <c r="BW27" i="5"/>
  <c r="CR36" i="5"/>
  <c r="X15" i="14" s="1"/>
  <c r="CF36" i="5"/>
  <c r="CI36" i="5" s="1"/>
  <c r="BW36" i="5"/>
  <c r="BZ36" i="5" s="1"/>
  <c r="M41" i="5"/>
  <c r="BY37" i="5"/>
  <c r="BY42" i="5" s="1"/>
  <c r="BX37" i="5"/>
  <c r="BX42" i="5" s="1"/>
  <c r="W41" i="5"/>
  <c r="CI38" i="5"/>
  <c r="AQ31" i="1" s="1"/>
  <c r="CF47" i="5"/>
  <c r="BY29" i="5"/>
  <c r="CG29" i="5"/>
  <c r="U46" i="5"/>
  <c r="X30" i="5"/>
  <c r="Y44" i="5" s="1"/>
  <c r="O29" i="5"/>
  <c r="L32" i="5"/>
  <c r="C11" i="12" s="1"/>
  <c r="L37" i="5"/>
  <c r="M44" i="5"/>
  <c r="N44" i="5"/>
  <c r="Q46" i="5"/>
  <c r="L40" i="5"/>
  <c r="L46" i="5"/>
  <c r="CR28" i="5"/>
  <c r="CR33" i="5"/>
  <c r="X12" i="14" s="1"/>
  <c r="CR27" i="5"/>
  <c r="CR47" i="5"/>
  <c r="CO49" i="5"/>
  <c r="CP49" i="5" s="1"/>
  <c r="CQ32" i="5"/>
  <c r="CP32" i="5"/>
  <c r="CO37" i="5"/>
  <c r="CR35" i="5"/>
  <c r="X14" i="14" s="1"/>
  <c r="CO29" i="5"/>
  <c r="U8" i="14" s="1"/>
  <c r="CR26" i="5"/>
  <c r="X5" i="14" s="1"/>
  <c r="CR31" i="5"/>
  <c r="CQ40" i="5"/>
  <c r="CP40" i="5"/>
  <c r="E44" i="5"/>
  <c r="K30" i="5"/>
  <c r="G46" i="5" s="1"/>
  <c r="D41" i="5"/>
  <c r="K31" i="5"/>
  <c r="C46" i="5"/>
  <c r="C44" i="5"/>
  <c r="G44" i="5"/>
  <c r="E41" i="5"/>
  <c r="F37" i="5"/>
  <c r="D44" i="5"/>
  <c r="C32" i="5"/>
  <c r="C43" i="5" s="1"/>
  <c r="F29" i="5"/>
  <c r="H12" i="6"/>
  <c r="F11" i="6"/>
  <c r="BX7" i="6"/>
  <c r="BZ7" i="6" s="1"/>
  <c r="CJ12" i="6"/>
  <c r="CL12" i="6" s="1"/>
  <c r="BH14" i="6"/>
  <c r="BI14" i="6" s="1"/>
  <c r="AX14" i="6"/>
  <c r="N11" i="6"/>
  <c r="M10" i="6"/>
  <c r="BC13" i="6"/>
  <c r="BG13" i="6"/>
  <c r="AE10" i="6"/>
  <c r="AG11" i="6"/>
  <c r="AK10" i="6"/>
  <c r="AM11" i="6"/>
  <c r="AW10" i="6"/>
  <c r="W11" i="6"/>
  <c r="X12" i="6"/>
  <c r="S13" i="6"/>
  <c r="AA13" i="6" s="1"/>
  <c r="AS10" i="6"/>
  <c r="AQ9" i="6"/>
  <c r="CZ29" i="5" l="1"/>
  <c r="CZ40" i="5" s="1"/>
  <c r="CX31" i="5"/>
  <c r="CX28" i="5"/>
  <c r="CX26" i="5"/>
  <c r="CX30" i="5"/>
  <c r="U32" i="5"/>
  <c r="U40" i="5"/>
  <c r="CW31" i="5"/>
  <c r="AC10" i="14" s="1"/>
  <c r="X10" i="14"/>
  <c r="CR37" i="5"/>
  <c r="U16" i="14"/>
  <c r="U19" i="14" s="1"/>
  <c r="E15" i="13"/>
  <c r="CQ43" i="5"/>
  <c r="W11" i="14"/>
  <c r="C11" i="14"/>
  <c r="CS44" i="5"/>
  <c r="X9" i="14"/>
  <c r="F36" i="13"/>
  <c r="F18" i="13"/>
  <c r="F17" i="13"/>
  <c r="G36" i="13"/>
  <c r="G17" i="13"/>
  <c r="G18" i="13"/>
  <c r="M7" i="13"/>
  <c r="G5" i="16"/>
  <c r="K5" i="16" s="1"/>
  <c r="O5" i="16" s="1"/>
  <c r="G5" i="15"/>
  <c r="K5" i="15" s="1"/>
  <c r="O5" i="15" s="1"/>
  <c r="AK60" i="1"/>
  <c r="L112" i="1" s="1"/>
  <c r="M112" i="1" s="1" a="1"/>
  <c r="AK58" i="1"/>
  <c r="L110" i="1" s="1"/>
  <c r="M110" i="1" s="1" a="1"/>
  <c r="AK56" i="1"/>
  <c r="L108" i="1" s="1"/>
  <c r="M108" i="1" s="1" a="1"/>
  <c r="AK57" i="1"/>
  <c r="L109" i="1" s="1"/>
  <c r="M109" i="1" s="1" a="1"/>
  <c r="AK59" i="1"/>
  <c r="L111" i="1" s="1"/>
  <c r="M111" i="1" s="1" a="1"/>
  <c r="AK54" i="1"/>
  <c r="L106" i="1" s="1"/>
  <c r="AK55" i="1"/>
  <c r="L107" i="1" s="1"/>
  <c r="M107" i="1" s="1" a="1"/>
  <c r="AV31" i="1"/>
  <c r="CX47" i="5"/>
  <c r="DA38" i="5"/>
  <c r="F5" i="14"/>
  <c r="C23" i="12"/>
  <c r="C25" i="12"/>
  <c r="E11" i="14"/>
  <c r="E22" i="12"/>
  <c r="E20" i="12"/>
  <c r="D25" i="12"/>
  <c r="D23" i="12"/>
  <c r="F6" i="14"/>
  <c r="L7" i="13"/>
  <c r="H23" i="13"/>
  <c r="G23" i="13"/>
  <c r="F23" i="13"/>
  <c r="G7" i="16"/>
  <c r="K7" i="16" s="1"/>
  <c r="O7" i="16" s="1"/>
  <c r="G7" i="15"/>
  <c r="K7" i="15" s="1"/>
  <c r="O7" i="15" s="1"/>
  <c r="P5" i="13"/>
  <c r="L21" i="13"/>
  <c r="P21" i="13" s="1"/>
  <c r="K21" i="13"/>
  <c r="O21" i="13" s="1"/>
  <c r="J21" i="13"/>
  <c r="N21" i="13" s="1"/>
  <c r="AL49" i="1"/>
  <c r="L125" i="1" s="1"/>
  <c r="M125" i="1" s="1" a="1"/>
  <c r="AL42" i="1"/>
  <c r="L118" i="1" s="1"/>
  <c r="M118" i="1" s="1" a="1"/>
  <c r="AL45" i="1"/>
  <c r="L121" i="1" s="1"/>
  <c r="AL46" i="1"/>
  <c r="L122" i="1" s="1"/>
  <c r="M122" i="1" s="1" a="1"/>
  <c r="AL44" i="1"/>
  <c r="L120" i="1" s="1"/>
  <c r="M120" i="1" s="1" a="1"/>
  <c r="AL50" i="1"/>
  <c r="L126" i="1" s="1"/>
  <c r="M126" i="1" s="1" a="1"/>
  <c r="AL43" i="1"/>
  <c r="L119" i="1" s="1"/>
  <c r="M119" i="1" s="1" a="1"/>
  <c r="AL51" i="1"/>
  <c r="L127" i="1" s="1"/>
  <c r="M127" i="1" s="1" a="1"/>
  <c r="AL48" i="1"/>
  <c r="L124" i="1" s="1"/>
  <c r="M124" i="1" s="1" a="1"/>
  <c r="AL47" i="1"/>
  <c r="L123" i="1" s="1"/>
  <c r="M123" i="1" s="1" a="1"/>
  <c r="E88" i="1"/>
  <c r="I21" i="13"/>
  <c r="M21" i="13" s="1"/>
  <c r="L51" i="5"/>
  <c r="M51" i="5" s="1"/>
  <c r="K10" i="12"/>
  <c r="K10" i="14" s="1"/>
  <c r="AJ50" i="1"/>
  <c r="L76" i="1" s="1"/>
  <c r="AJ45" i="1"/>
  <c r="L71" i="1" s="1"/>
  <c r="AJ49" i="1"/>
  <c r="L75" i="1" s="1"/>
  <c r="M75" i="1" s="1" a="1"/>
  <c r="AJ46" i="1"/>
  <c r="L72" i="1" s="1"/>
  <c r="M72" i="1" s="1" a="1"/>
  <c r="AJ42" i="1"/>
  <c r="L68" i="1" s="1"/>
  <c r="AJ43" i="1"/>
  <c r="L69" i="1" s="1"/>
  <c r="M69" i="1" s="1" a="1"/>
  <c r="AJ47" i="1"/>
  <c r="L73" i="1" s="1"/>
  <c r="M73" i="1" s="1" a="1"/>
  <c r="AJ51" i="1"/>
  <c r="L77" i="1" s="1"/>
  <c r="M77" i="1" s="1" a="1"/>
  <c r="AJ44" i="1"/>
  <c r="L70" i="1" s="1"/>
  <c r="M70" i="1" s="1" a="1"/>
  <c r="AJ48" i="1"/>
  <c r="L74" i="1" s="1"/>
  <c r="M74" i="1" s="1" a="1"/>
  <c r="J15" i="13"/>
  <c r="F35" i="13"/>
  <c r="BT12" i="6"/>
  <c r="I12" i="6"/>
  <c r="CP43" i="5"/>
  <c r="V11" i="14"/>
  <c r="CP46" i="5"/>
  <c r="X6" i="14"/>
  <c r="CQ46" i="5"/>
  <c r="X7" i="14"/>
  <c r="O37" i="5"/>
  <c r="E13" i="13"/>
  <c r="C16" i="12"/>
  <c r="O40" i="5"/>
  <c r="F8" i="12"/>
  <c r="AM61" i="1"/>
  <c r="AM52" i="1"/>
  <c r="T30" i="5"/>
  <c r="L57" i="5" s="1"/>
  <c r="M57" i="5" s="1"/>
  <c r="F9" i="12"/>
  <c r="H24" i="13"/>
  <c r="H10" i="13"/>
  <c r="H9" i="13"/>
  <c r="M76" i="1" a="1"/>
  <c r="E78" i="1"/>
  <c r="M68" i="1" a="1"/>
  <c r="M71" i="1" a="1"/>
  <c r="N13" i="13"/>
  <c r="J33" i="13"/>
  <c r="N33" i="13" s="1"/>
  <c r="AK46" i="1"/>
  <c r="L97" i="1" s="1"/>
  <c r="M97" i="1" s="1" a="1"/>
  <c r="AK45" i="1"/>
  <c r="L96" i="1" s="1"/>
  <c r="AK44" i="1"/>
  <c r="L95" i="1" s="1"/>
  <c r="M95" i="1" s="1" a="1"/>
  <c r="AK42" i="1"/>
  <c r="L93" i="1" s="1"/>
  <c r="M93" i="1" s="1" a="1"/>
  <c r="AK50" i="1"/>
  <c r="L101" i="1" s="1"/>
  <c r="M101" i="1" s="1" a="1"/>
  <c r="AK49" i="1"/>
  <c r="L100" i="1" s="1"/>
  <c r="M100" i="1" s="1" a="1"/>
  <c r="AK43" i="1"/>
  <c r="L94" i="1" s="1"/>
  <c r="M94" i="1" s="1" a="1"/>
  <c r="AK51" i="1"/>
  <c r="L102" i="1" s="1"/>
  <c r="M102" i="1" s="1" a="1"/>
  <c r="AK48" i="1"/>
  <c r="L99" i="1" s="1"/>
  <c r="M99" i="1" s="1" a="1"/>
  <c r="AK47" i="1"/>
  <c r="L98" i="1" s="1"/>
  <c r="M98" i="1" s="1" a="1"/>
  <c r="K45" i="1"/>
  <c r="E146" i="1" s="1"/>
  <c r="K54" i="1"/>
  <c r="E156" i="1" s="1"/>
  <c r="K47" i="1"/>
  <c r="E148" i="1" s="1"/>
  <c r="K44" i="1"/>
  <c r="E145" i="1" s="1"/>
  <c r="K60" i="1"/>
  <c r="E162" i="1" s="1"/>
  <c r="K59" i="1"/>
  <c r="E161" i="1" s="1"/>
  <c r="K57" i="1"/>
  <c r="E159" i="1" s="1"/>
  <c r="K46" i="1"/>
  <c r="E147" i="1" s="1"/>
  <c r="K55" i="1"/>
  <c r="E157" i="1" s="1"/>
  <c r="K58" i="1"/>
  <c r="E160" i="1" s="1"/>
  <c r="K43" i="1"/>
  <c r="E144" i="1" s="1"/>
  <c r="K49" i="1"/>
  <c r="E150" i="1" s="1"/>
  <c r="K42" i="1"/>
  <c r="E143" i="1" s="1"/>
  <c r="K50" i="1"/>
  <c r="E151" i="1" s="1"/>
  <c r="K48" i="1"/>
  <c r="E149" i="1" s="1"/>
  <c r="K51" i="1"/>
  <c r="E152" i="1" s="1"/>
  <c r="K56" i="1"/>
  <c r="E158" i="1" s="1"/>
  <c r="K15" i="13"/>
  <c r="G35" i="13"/>
  <c r="C20" i="12"/>
  <c r="AL55" i="1"/>
  <c r="L132" i="1" s="1"/>
  <c r="M132" i="1" s="1" a="1"/>
  <c r="AL58" i="1"/>
  <c r="L135" i="1" s="1"/>
  <c r="M135" i="1" s="1" a="1"/>
  <c r="AL56" i="1"/>
  <c r="L133" i="1" s="1"/>
  <c r="M133" i="1" s="1" a="1"/>
  <c r="AL60" i="1"/>
  <c r="L137" i="1" s="1"/>
  <c r="M137" i="1" s="1" a="1"/>
  <c r="AL59" i="1"/>
  <c r="L136" i="1" s="1"/>
  <c r="M136" i="1" s="1" a="1"/>
  <c r="AL54" i="1"/>
  <c r="L131" i="1" s="1"/>
  <c r="AL57" i="1"/>
  <c r="L134" i="1" s="1"/>
  <c r="M134" i="1" s="1" a="1"/>
  <c r="G24" i="13"/>
  <c r="F24" i="13"/>
  <c r="F5" i="16"/>
  <c r="J5" i="16" s="1"/>
  <c r="N5" i="16" s="1"/>
  <c r="F5" i="15"/>
  <c r="J5" i="15" s="1"/>
  <c r="N5" i="15" s="1"/>
  <c r="O13" i="13"/>
  <c r="K33" i="13"/>
  <c r="O33" i="13" s="1"/>
  <c r="F153" i="1"/>
  <c r="F163" i="1"/>
  <c r="H23" i="12"/>
  <c r="F10" i="14"/>
  <c r="AJ58" i="1"/>
  <c r="L85" i="1" s="1"/>
  <c r="M85" i="1" s="1" a="1"/>
  <c r="AJ56" i="1"/>
  <c r="L83" i="1" s="1"/>
  <c r="M83" i="1" s="1" a="1"/>
  <c r="AJ60" i="1"/>
  <c r="L87" i="1" s="1"/>
  <c r="M87" i="1" s="1" a="1"/>
  <c r="AJ54" i="1"/>
  <c r="L81" i="1" s="1"/>
  <c r="AJ57" i="1"/>
  <c r="L84" i="1" s="1"/>
  <c r="M84" i="1" s="1" a="1"/>
  <c r="AJ55" i="1"/>
  <c r="L82" i="1" s="1"/>
  <c r="M82" i="1" s="1" a="1"/>
  <c r="AJ59" i="1"/>
  <c r="L86" i="1" s="1"/>
  <c r="M86" i="1" s="1" a="1"/>
  <c r="F7" i="14"/>
  <c r="E25" i="12"/>
  <c r="E23" i="12"/>
  <c r="D11" i="14"/>
  <c r="D22" i="12"/>
  <c r="F7" i="16"/>
  <c r="J7" i="16" s="1"/>
  <c r="N7" i="16" s="1"/>
  <c r="F7" i="15"/>
  <c r="J7" i="15" s="1"/>
  <c r="N7" i="15" s="1"/>
  <c r="EK34" i="5"/>
  <c r="X13" i="12" s="1"/>
  <c r="U13" i="12"/>
  <c r="U30" i="12"/>
  <c r="U29" i="12"/>
  <c r="BO31" i="1"/>
  <c r="X17" i="12"/>
  <c r="X26" i="12" s="1"/>
  <c r="EK35" i="5"/>
  <c r="X14" i="12" s="1"/>
  <c r="U14" i="12"/>
  <c r="W19" i="12"/>
  <c r="W50" i="12"/>
  <c r="U31" i="12"/>
  <c r="EI42" i="5"/>
  <c r="V16" i="12"/>
  <c r="EK36" i="5"/>
  <c r="X15" i="12" s="1"/>
  <c r="U15" i="12"/>
  <c r="EJ42" i="5"/>
  <c r="W16" i="12"/>
  <c r="EI40" i="5"/>
  <c r="V8" i="12"/>
  <c r="DS47" i="5"/>
  <c r="EB47" i="5"/>
  <c r="EK47" i="5"/>
  <c r="EB31" i="5"/>
  <c r="ED44" i="5" s="1"/>
  <c r="DJ31" i="5"/>
  <c r="DL44" i="5" s="1"/>
  <c r="DS28" i="5"/>
  <c r="DR46" i="5" s="1"/>
  <c r="EK28" i="5"/>
  <c r="DJ28" i="5"/>
  <c r="DI46" i="5" s="1"/>
  <c r="DG29" i="5"/>
  <c r="DG40" i="5" s="1"/>
  <c r="DJ26" i="5"/>
  <c r="DP29" i="5"/>
  <c r="DS26" i="5"/>
  <c r="DP40" i="5"/>
  <c r="DP44" i="5"/>
  <c r="DZ32" i="5"/>
  <c r="DZ43" i="5" s="1"/>
  <c r="DQ32" i="5"/>
  <c r="DQ43" i="5" s="1"/>
  <c r="CX37" i="5"/>
  <c r="DA37" i="5" s="1"/>
  <c r="DA33" i="5"/>
  <c r="CX42" i="5"/>
  <c r="EK33" i="5"/>
  <c r="X12" i="12" s="1"/>
  <c r="EH37" i="5"/>
  <c r="E16" i="13" s="1"/>
  <c r="EB33" i="5"/>
  <c r="DY37" i="5"/>
  <c r="EB37" i="5" s="1"/>
  <c r="DJ30" i="5"/>
  <c r="DS30" i="5"/>
  <c r="DA27" i="5"/>
  <c r="CY46" i="5" s="1"/>
  <c r="DS27" i="5"/>
  <c r="DQ46" i="5" s="1"/>
  <c r="EK27" i="5"/>
  <c r="EJ32" i="5"/>
  <c r="DS31" i="5"/>
  <c r="DA31" i="5"/>
  <c r="EK31" i="5"/>
  <c r="X10" i="12" s="1"/>
  <c r="Z23" i="12" s="1"/>
  <c r="EB28" i="5"/>
  <c r="EA46" i="5" s="1"/>
  <c r="DA28" i="5"/>
  <c r="CZ46" i="5" s="1"/>
  <c r="DA26" i="5"/>
  <c r="CX44" i="5"/>
  <c r="EK26" i="5"/>
  <c r="EH29" i="5"/>
  <c r="EB26" i="5"/>
  <c r="DY29" i="5"/>
  <c r="DY40" i="5" s="1"/>
  <c r="DZ40" i="5"/>
  <c r="DQ40" i="5"/>
  <c r="EA32" i="5"/>
  <c r="EA43" i="5" s="1"/>
  <c r="DI32" i="5"/>
  <c r="DI43" i="5" s="1"/>
  <c r="DG37" i="5"/>
  <c r="DJ37" i="5" s="1"/>
  <c r="DJ33" i="5"/>
  <c r="DP37" i="5"/>
  <c r="DS37" i="5" s="1"/>
  <c r="DS33" i="5"/>
  <c r="DP42" i="5"/>
  <c r="DA30" i="5"/>
  <c r="EK30" i="5"/>
  <c r="X9" i="12" s="1"/>
  <c r="EB30" i="5"/>
  <c r="DJ27" i="5"/>
  <c r="DH46" i="5" s="1"/>
  <c r="EB27" i="5"/>
  <c r="DZ46" i="5" s="1"/>
  <c r="EI32" i="5"/>
  <c r="DH32" i="5"/>
  <c r="DH43" i="5" s="1"/>
  <c r="CY32" i="5"/>
  <c r="CY43" i="5" s="1"/>
  <c r="EJ40" i="5"/>
  <c r="DR40" i="5"/>
  <c r="DR32" i="5"/>
  <c r="DR43" i="5" s="1"/>
  <c r="CZ32" i="5"/>
  <c r="CZ43" i="5" s="1"/>
  <c r="BX6" i="6"/>
  <c r="BX5" i="6" s="1"/>
  <c r="BZ5" i="6" s="1"/>
  <c r="CW30" i="5"/>
  <c r="X40" i="5"/>
  <c r="P44" i="5"/>
  <c r="C41" i="5"/>
  <c r="C51" i="5"/>
  <c r="D51" i="5" s="1"/>
  <c r="L50" i="5"/>
  <c r="M50" i="5" s="1"/>
  <c r="L52" i="5"/>
  <c r="M52" i="5" s="1"/>
  <c r="CG32" i="5"/>
  <c r="CG43" i="5" s="1"/>
  <c r="BZ27" i="5"/>
  <c r="BX46" i="5" s="1"/>
  <c r="BW37" i="5"/>
  <c r="BZ37" i="5" s="1"/>
  <c r="BZ33" i="5"/>
  <c r="BZ28" i="5"/>
  <c r="BY46" i="5" s="1"/>
  <c r="X32" i="5"/>
  <c r="AA44" i="5" s="1"/>
  <c r="BZ47" i="5"/>
  <c r="BW49" i="5"/>
  <c r="BX49" i="5" s="1"/>
  <c r="X34" i="5"/>
  <c r="U37" i="5"/>
  <c r="X37" i="5" s="1"/>
  <c r="CI31" i="5"/>
  <c r="BW29" i="5"/>
  <c r="BW40" i="5" s="1"/>
  <c r="BZ26" i="5"/>
  <c r="BW44" i="5" s="1"/>
  <c r="BZ30" i="5"/>
  <c r="C50" i="5"/>
  <c r="D50" i="5" s="1"/>
  <c r="C52" i="5"/>
  <c r="D52" i="5" s="1"/>
  <c r="CQ44" i="5"/>
  <c r="O42" i="5"/>
  <c r="AC30" i="5"/>
  <c r="CG40" i="5"/>
  <c r="BY40" i="5"/>
  <c r="BY32" i="5"/>
  <c r="BY43" i="5" s="1"/>
  <c r="CI47" i="5"/>
  <c r="CF49" i="5"/>
  <c r="CG49" i="5" s="1"/>
  <c r="CI27" i="5"/>
  <c r="CG46" i="5" s="1"/>
  <c r="CI33" i="5"/>
  <c r="CF37" i="5"/>
  <c r="CI37" i="5" s="1"/>
  <c r="CI28" i="5"/>
  <c r="CH46" i="5" s="1"/>
  <c r="U41" i="5"/>
  <c r="X46" i="5"/>
  <c r="AC31" i="5"/>
  <c r="U51" i="5" s="1"/>
  <c r="V51" i="5" s="1"/>
  <c r="BX32" i="5"/>
  <c r="BX43" i="5" s="1"/>
  <c r="CH32" i="5"/>
  <c r="CH43" i="5" s="1"/>
  <c r="BZ31" i="5"/>
  <c r="CI26" i="5"/>
  <c r="CF29" i="5"/>
  <c r="CF40" i="5" s="1"/>
  <c r="CI30" i="5"/>
  <c r="L41" i="5"/>
  <c r="L43" i="5"/>
  <c r="O32" i="5"/>
  <c r="O44" i="5"/>
  <c r="O46" i="5"/>
  <c r="L42" i="5"/>
  <c r="CP41" i="5"/>
  <c r="CP44" i="5"/>
  <c r="CT46" i="5"/>
  <c r="CO51" i="5"/>
  <c r="CP51" i="5" s="1"/>
  <c r="CO46" i="5"/>
  <c r="CO32" i="5"/>
  <c r="CO50" i="5"/>
  <c r="CP50" i="5" s="1"/>
  <c r="CO52" i="5"/>
  <c r="CP52" i="5" s="1"/>
  <c r="CO42" i="5"/>
  <c r="H46" i="5"/>
  <c r="CT44" i="5"/>
  <c r="CO44" i="5"/>
  <c r="CO40" i="5"/>
  <c r="CR42" i="5"/>
  <c r="CQ41" i="5"/>
  <c r="CR29" i="5"/>
  <c r="X8" i="14" s="1"/>
  <c r="F46" i="5"/>
  <c r="F40" i="5"/>
  <c r="F44" i="5"/>
  <c r="F32" i="5"/>
  <c r="F41" i="5" s="1"/>
  <c r="F42" i="5"/>
  <c r="C57" i="5"/>
  <c r="D57" i="5" s="1"/>
  <c r="C56" i="5"/>
  <c r="H11" i="6"/>
  <c r="F10" i="6"/>
  <c r="CX11" i="6"/>
  <c r="CF11" i="6"/>
  <c r="CJ13" i="6"/>
  <c r="CL13" i="6" s="1"/>
  <c r="BC12" i="6"/>
  <c r="BG12" i="6"/>
  <c r="M9" i="6"/>
  <c r="N10" i="6"/>
  <c r="BH13" i="6"/>
  <c r="BI13" i="6" s="1"/>
  <c r="AX13" i="6"/>
  <c r="S12" i="6"/>
  <c r="AA12" i="6" s="1"/>
  <c r="W10" i="6"/>
  <c r="X11" i="6"/>
  <c r="AW9" i="6"/>
  <c r="AE9" i="6"/>
  <c r="AG10" i="6"/>
  <c r="AQ8" i="6"/>
  <c r="AS9" i="6"/>
  <c r="AK9" i="6"/>
  <c r="AM10" i="6"/>
  <c r="CX29" i="5" l="1"/>
  <c r="CX40" i="5"/>
  <c r="P46" i="5"/>
  <c r="H25" i="12"/>
  <c r="BH48" i="1"/>
  <c r="BH11" i="1" s="1"/>
  <c r="BD48" i="1"/>
  <c r="BD11" i="1" s="1"/>
  <c r="AV48" i="1"/>
  <c r="BL48" i="1"/>
  <c r="BL11" i="1" s="1"/>
  <c r="E91" i="15" s="1"/>
  <c r="AZ48" i="1"/>
  <c r="AZ11" i="1" s="1"/>
  <c r="M74" i="1"/>
  <c r="AN48" i="1" s="1"/>
  <c r="AN11" i="1" s="1"/>
  <c r="AR48" i="1"/>
  <c r="AR11" i="1" s="1"/>
  <c r="BH51" i="1"/>
  <c r="BH14" i="1" s="1"/>
  <c r="BD51" i="1"/>
  <c r="BD14" i="1" s="1"/>
  <c r="AV51" i="1"/>
  <c r="BL51" i="1"/>
  <c r="BL14" i="1" s="1"/>
  <c r="AZ51" i="1"/>
  <c r="AZ14" i="1" s="1"/>
  <c r="M77" i="1"/>
  <c r="AN51" i="1" s="1"/>
  <c r="AN14" i="1" s="1"/>
  <c r="AR51" i="1"/>
  <c r="AR14" i="1" s="1"/>
  <c r="BH43" i="1"/>
  <c r="BH6" i="1" s="1"/>
  <c r="BD43" i="1"/>
  <c r="BD6" i="1" s="1"/>
  <c r="AV43" i="1"/>
  <c r="BL43" i="1"/>
  <c r="BL6" i="1" s="1"/>
  <c r="AZ43" i="1"/>
  <c r="AZ6" i="1" s="1"/>
  <c r="AR43" i="1"/>
  <c r="AR6" i="1" s="1"/>
  <c r="M69" i="1"/>
  <c r="AN43" i="1" s="1"/>
  <c r="AN6" i="1" s="1"/>
  <c r="BH46" i="1"/>
  <c r="BH9" i="1" s="1"/>
  <c r="BD46" i="1"/>
  <c r="BD9" i="1" s="1"/>
  <c r="AV46" i="1"/>
  <c r="BL46" i="1"/>
  <c r="BL9" i="1" s="1"/>
  <c r="AZ46" i="1"/>
  <c r="AZ9" i="1" s="1"/>
  <c r="AR46" i="1"/>
  <c r="AR9" i="1" s="1"/>
  <c r="M72" i="1"/>
  <c r="AN46" i="1" s="1"/>
  <c r="AN9" i="1" s="1"/>
  <c r="BH47" i="1"/>
  <c r="BH10" i="1" s="1"/>
  <c r="BD47" i="1"/>
  <c r="BD10" i="1" s="1"/>
  <c r="AV47" i="1"/>
  <c r="BL47" i="1"/>
  <c r="BL10" i="1" s="1"/>
  <c r="E90" i="16" s="1"/>
  <c r="AZ47" i="1"/>
  <c r="AZ10" i="1" s="1"/>
  <c r="M73" i="1"/>
  <c r="AN47" i="1" s="1"/>
  <c r="AN10" i="1" s="1"/>
  <c r="AR47" i="1"/>
  <c r="AR10" i="1" s="1"/>
  <c r="BH49" i="1"/>
  <c r="BH12" i="1" s="1"/>
  <c r="BD49" i="1"/>
  <c r="BD12" i="1" s="1"/>
  <c r="AV49" i="1"/>
  <c r="BL49" i="1"/>
  <c r="BL12" i="1" s="1"/>
  <c r="AZ49" i="1"/>
  <c r="AZ12" i="1" s="1"/>
  <c r="AR49" i="1"/>
  <c r="AR12" i="1" s="1"/>
  <c r="M75" i="1"/>
  <c r="AN49" i="1" s="1"/>
  <c r="AN12" i="1" s="1"/>
  <c r="CO57" i="5"/>
  <c r="CP57" i="5" s="1"/>
  <c r="AC9" i="14"/>
  <c r="Y21" i="14" s="1"/>
  <c r="AA17" i="14"/>
  <c r="E17" i="13"/>
  <c r="E18" i="13"/>
  <c r="E36" i="13"/>
  <c r="BH55" i="1"/>
  <c r="BH18" i="1" s="1"/>
  <c r="BD55" i="1"/>
  <c r="BD18" i="1" s="1"/>
  <c r="AV55" i="1"/>
  <c r="AV18" i="1" s="1"/>
  <c r="BL55" i="1"/>
  <c r="BL18" i="1" s="1"/>
  <c r="E98" i="15" s="1"/>
  <c r="AZ55" i="1"/>
  <c r="AZ18" i="1" s="1"/>
  <c r="AR55" i="1"/>
  <c r="AR18" i="1" s="1"/>
  <c r="M82" i="1"/>
  <c r="AN55" i="1" s="1"/>
  <c r="AN18" i="1" s="1"/>
  <c r="L88" i="1"/>
  <c r="BH56" i="1"/>
  <c r="BH19" i="1" s="1"/>
  <c r="BD56" i="1"/>
  <c r="BD19" i="1" s="1"/>
  <c r="AV56" i="1"/>
  <c r="AV19" i="1" s="1"/>
  <c r="BL56" i="1"/>
  <c r="BL19" i="1" s="1"/>
  <c r="AZ56" i="1"/>
  <c r="AZ19" i="1" s="1"/>
  <c r="AR56" i="1"/>
  <c r="AR19" i="1" s="1"/>
  <c r="M83" i="1"/>
  <c r="AN56" i="1" s="1"/>
  <c r="AN19" i="1" s="1"/>
  <c r="BJ57" i="1"/>
  <c r="BJ20" i="1" s="1"/>
  <c r="BF57" i="1"/>
  <c r="BF20" i="1" s="1"/>
  <c r="AX57" i="1"/>
  <c r="AX20" i="1" s="1"/>
  <c r="BN57" i="1"/>
  <c r="BN20" i="1" s="1"/>
  <c r="BB57" i="1"/>
  <c r="BB20" i="1" s="1"/>
  <c r="AT57" i="1"/>
  <c r="AT20" i="1" s="1"/>
  <c r="W38" i="14" s="1"/>
  <c r="M134" i="1"/>
  <c r="AP57" i="1" s="1"/>
  <c r="AP20" i="1" s="1"/>
  <c r="BJ59" i="1"/>
  <c r="BJ22" i="1" s="1"/>
  <c r="BF59" i="1"/>
  <c r="BF22" i="1" s="1"/>
  <c r="AX59" i="1"/>
  <c r="AX22" i="1" s="1"/>
  <c r="BN59" i="1"/>
  <c r="BN22" i="1" s="1"/>
  <c r="BB59" i="1"/>
  <c r="BB22" i="1" s="1"/>
  <c r="M136" i="1"/>
  <c r="AP59" i="1" s="1"/>
  <c r="AP22" i="1" s="1"/>
  <c r="AT59" i="1"/>
  <c r="AT22" i="1" s="1"/>
  <c r="W40" i="14" s="1"/>
  <c r="BJ56" i="1"/>
  <c r="BJ19" i="1" s="1"/>
  <c r="BF56" i="1"/>
  <c r="BF19" i="1" s="1"/>
  <c r="AX56" i="1"/>
  <c r="AX19" i="1" s="1"/>
  <c r="BN56" i="1"/>
  <c r="BN19" i="1" s="1"/>
  <c r="BB56" i="1"/>
  <c r="BB19" i="1" s="1"/>
  <c r="M133" i="1"/>
  <c r="AP56" i="1" s="1"/>
  <c r="AP19" i="1" s="1"/>
  <c r="AT56" i="1"/>
  <c r="AT19" i="1" s="1"/>
  <c r="W37" i="14" s="1"/>
  <c r="BJ55" i="1"/>
  <c r="BJ18" i="1" s="1"/>
  <c r="BF55" i="1"/>
  <c r="BF18" i="1" s="1"/>
  <c r="AX55" i="1"/>
  <c r="AX18" i="1" s="1"/>
  <c r="BN55" i="1"/>
  <c r="BN18" i="1" s="1"/>
  <c r="BB55" i="1"/>
  <c r="BB18" i="1" s="1"/>
  <c r="M132" i="1"/>
  <c r="AP55" i="1" s="1"/>
  <c r="AP18" i="1" s="1"/>
  <c r="AT55" i="1"/>
  <c r="AT18" i="1" s="1"/>
  <c r="W36" i="14" s="1"/>
  <c r="E163" i="1"/>
  <c r="BM47" i="1"/>
  <c r="BM10" i="1" s="1"/>
  <c r="BA47" i="1"/>
  <c r="BA10" i="1" s="1"/>
  <c r="BI47" i="1"/>
  <c r="BI10" i="1" s="1"/>
  <c r="BE47" i="1"/>
  <c r="BE10" i="1" s="1"/>
  <c r="AW47" i="1"/>
  <c r="M98" i="1"/>
  <c r="AO47" i="1" s="1"/>
  <c r="AO10" i="1" s="1"/>
  <c r="AS47" i="1"/>
  <c r="AS10" i="1" s="1"/>
  <c r="V28" i="14" s="1"/>
  <c r="BM51" i="1"/>
  <c r="BM14" i="1" s="1"/>
  <c r="BA51" i="1"/>
  <c r="BA14" i="1" s="1"/>
  <c r="BI51" i="1"/>
  <c r="BI14" i="1" s="1"/>
  <c r="BE51" i="1"/>
  <c r="BE14" i="1" s="1"/>
  <c r="AW51" i="1"/>
  <c r="M102" i="1"/>
  <c r="AO51" i="1" s="1"/>
  <c r="AO14" i="1" s="1"/>
  <c r="AS51" i="1"/>
  <c r="AS14" i="1" s="1"/>
  <c r="V32" i="14" s="1"/>
  <c r="BM49" i="1"/>
  <c r="BM12" i="1" s="1"/>
  <c r="BA49" i="1"/>
  <c r="BA12" i="1" s="1"/>
  <c r="BI49" i="1"/>
  <c r="BI12" i="1" s="1"/>
  <c r="BE49" i="1"/>
  <c r="BE12" i="1" s="1"/>
  <c r="AW49" i="1"/>
  <c r="AS49" i="1"/>
  <c r="AS12" i="1" s="1"/>
  <c r="V30" i="14" s="1"/>
  <c r="M100" i="1"/>
  <c r="AO49" i="1" s="1"/>
  <c r="AO12" i="1" s="1"/>
  <c r="BI42" i="1"/>
  <c r="BE42" i="1"/>
  <c r="AW42" i="1"/>
  <c r="BM42" i="1"/>
  <c r="BM5" i="1" s="1"/>
  <c r="BA42" i="1"/>
  <c r="AS42" i="1"/>
  <c r="M93" i="1"/>
  <c r="AO42" i="1" s="1"/>
  <c r="L103" i="1"/>
  <c r="M96" i="1" a="1"/>
  <c r="BH44" i="1"/>
  <c r="BH7" i="1" s="1"/>
  <c r="BD44" i="1"/>
  <c r="BD7" i="1" s="1"/>
  <c r="AV44" i="1"/>
  <c r="BL44" i="1"/>
  <c r="BL7" i="1" s="1"/>
  <c r="E115" i="13" s="1"/>
  <c r="AZ44" i="1"/>
  <c r="AZ7" i="1" s="1"/>
  <c r="AR44" i="1"/>
  <c r="AR7" i="1" s="1"/>
  <c r="M70" i="1"/>
  <c r="AN44" i="1" s="1"/>
  <c r="AN7" i="1" s="1"/>
  <c r="BL42" i="1"/>
  <c r="AZ42" i="1"/>
  <c r="BD42" i="1"/>
  <c r="BH42" i="1"/>
  <c r="AV42" i="1"/>
  <c r="M68" i="1"/>
  <c r="AR42" i="1"/>
  <c r="BH50" i="1"/>
  <c r="BH13" i="1" s="1"/>
  <c r="BD50" i="1"/>
  <c r="BD13" i="1" s="1"/>
  <c r="AV50" i="1"/>
  <c r="BL50" i="1"/>
  <c r="BL13" i="1" s="1"/>
  <c r="AZ50" i="1"/>
  <c r="AZ13" i="1" s="1"/>
  <c r="M76" i="1"/>
  <c r="AN50" i="1" s="1"/>
  <c r="AN13" i="1" s="1"/>
  <c r="AR50" i="1"/>
  <c r="AR13" i="1" s="1"/>
  <c r="U31" i="14" s="1"/>
  <c r="F9" i="14"/>
  <c r="G23" i="12"/>
  <c r="AM56" i="1"/>
  <c r="L158" i="1" s="1"/>
  <c r="AM47" i="1"/>
  <c r="L148" i="1" s="1"/>
  <c r="AM58" i="1"/>
  <c r="L160" i="1" s="1"/>
  <c r="M160" i="1" s="1" a="1"/>
  <c r="AM55" i="1"/>
  <c r="L157" i="1" s="1"/>
  <c r="AM48" i="1"/>
  <c r="L149" i="1" s="1"/>
  <c r="M149" i="1" s="1" a="1"/>
  <c r="AM59" i="1"/>
  <c r="L161" i="1" s="1"/>
  <c r="M161" i="1" s="1" a="1"/>
  <c r="AM49" i="1"/>
  <c r="L150" i="1" s="1"/>
  <c r="M150" i="1" s="1" a="1"/>
  <c r="AM50" i="1"/>
  <c r="L151" i="1" s="1"/>
  <c r="M151" i="1" s="1" a="1"/>
  <c r="AM57" i="1"/>
  <c r="L159" i="1" s="1"/>
  <c r="M159" i="1" s="1" a="1"/>
  <c r="AM51" i="1"/>
  <c r="L152" i="1" s="1"/>
  <c r="M152" i="1" s="1" a="1"/>
  <c r="AM44" i="1"/>
  <c r="L145" i="1" s="1"/>
  <c r="M145" i="1" s="1" a="1"/>
  <c r="AM54" i="1"/>
  <c r="L156" i="1" s="1"/>
  <c r="AM43" i="1"/>
  <c r="L144" i="1" s="1"/>
  <c r="AM42" i="1"/>
  <c r="AM45" i="1"/>
  <c r="L146" i="1" s="1"/>
  <c r="M146" i="1" s="1" a="1"/>
  <c r="AM46" i="1"/>
  <c r="L147" i="1" s="1"/>
  <c r="M147" i="1" s="1" a="1"/>
  <c r="AM60" i="1"/>
  <c r="L162" i="1" s="1"/>
  <c r="F25" i="12"/>
  <c r="F23" i="12"/>
  <c r="F19" i="12"/>
  <c r="F8" i="14"/>
  <c r="C16" i="14"/>
  <c r="C19" i="14" s="1"/>
  <c r="C65" i="12"/>
  <c r="C21" i="12"/>
  <c r="H13" i="13"/>
  <c r="F16" i="12"/>
  <c r="L78" i="1"/>
  <c r="M81" i="1" a="1"/>
  <c r="BJ47" i="1"/>
  <c r="BJ10" i="1" s="1"/>
  <c r="BF47" i="1"/>
  <c r="BF10" i="1" s="1"/>
  <c r="AX47" i="1"/>
  <c r="BN47" i="1"/>
  <c r="BN10" i="1" s="1"/>
  <c r="BB47" i="1"/>
  <c r="BB10" i="1" s="1"/>
  <c r="AT47" i="1"/>
  <c r="AT10" i="1" s="1"/>
  <c r="W28" i="14" s="1"/>
  <c r="M123" i="1"/>
  <c r="AP47" i="1" s="1"/>
  <c r="AP10" i="1" s="1"/>
  <c r="BJ51" i="1"/>
  <c r="BJ14" i="1" s="1"/>
  <c r="BF51" i="1"/>
  <c r="BF14" i="1" s="1"/>
  <c r="AX51" i="1"/>
  <c r="BN51" i="1"/>
  <c r="BN14" i="1" s="1"/>
  <c r="BB51" i="1"/>
  <c r="BB14" i="1" s="1"/>
  <c r="M127" i="1"/>
  <c r="AP51" i="1" s="1"/>
  <c r="AP14" i="1" s="1"/>
  <c r="AT51" i="1"/>
  <c r="AT14" i="1" s="1"/>
  <c r="W32" i="14" s="1"/>
  <c r="BJ50" i="1"/>
  <c r="BJ13" i="1" s="1"/>
  <c r="BF50" i="1"/>
  <c r="BF13" i="1" s="1"/>
  <c r="AX50" i="1"/>
  <c r="BN50" i="1"/>
  <c r="BN13" i="1" s="1"/>
  <c r="BB50" i="1"/>
  <c r="BB13" i="1" s="1"/>
  <c r="M126" i="1"/>
  <c r="AP50" i="1" s="1"/>
  <c r="AP13" i="1" s="1"/>
  <c r="AT50" i="1"/>
  <c r="AT13" i="1" s="1"/>
  <c r="W31" i="14" s="1"/>
  <c r="BJ46" i="1"/>
  <c r="BJ9" i="1" s="1"/>
  <c r="BF46" i="1"/>
  <c r="BF9" i="1" s="1"/>
  <c r="AX46" i="1"/>
  <c r="BN46" i="1"/>
  <c r="BN9" i="1" s="1"/>
  <c r="BB46" i="1"/>
  <c r="BB9" i="1" s="1"/>
  <c r="AT46" i="1"/>
  <c r="AT9" i="1" s="1"/>
  <c r="W27" i="14" s="1"/>
  <c r="M122" i="1"/>
  <c r="AP46" i="1" s="1"/>
  <c r="AP9" i="1" s="1"/>
  <c r="BN42" i="1"/>
  <c r="BB42" i="1"/>
  <c r="BJ42" i="1"/>
  <c r="AX42" i="1"/>
  <c r="BF42" i="1"/>
  <c r="AT42" i="1"/>
  <c r="M118" i="1"/>
  <c r="AP42" i="1" s="1"/>
  <c r="BM55" i="1"/>
  <c r="BM18" i="1" s="1"/>
  <c r="BA55" i="1"/>
  <c r="BI55" i="1"/>
  <c r="BI18" i="1" s="1"/>
  <c r="BE55" i="1"/>
  <c r="AW55" i="1"/>
  <c r="AW18" i="1" s="1"/>
  <c r="AS55" i="1"/>
  <c r="AS18" i="1" s="1"/>
  <c r="V36" i="14" s="1"/>
  <c r="M107" i="1"/>
  <c r="AO55" i="1" s="1"/>
  <c r="AO18" i="1" s="1"/>
  <c r="BM59" i="1"/>
  <c r="BM22" i="1" s="1"/>
  <c r="BA59" i="1"/>
  <c r="BA22" i="1" s="1"/>
  <c r="BI59" i="1"/>
  <c r="BI22" i="1" s="1"/>
  <c r="BE59" i="1"/>
  <c r="BE22" i="1" s="1"/>
  <c r="AW59" i="1"/>
  <c r="AW22" i="1" s="1"/>
  <c r="AS59" i="1"/>
  <c r="AS22" i="1" s="1"/>
  <c r="V40" i="14" s="1"/>
  <c r="M111" i="1"/>
  <c r="AO59" i="1" s="1"/>
  <c r="AO22" i="1" s="1"/>
  <c r="BM56" i="1"/>
  <c r="BM19" i="1" s="1"/>
  <c r="BA56" i="1"/>
  <c r="BA19" i="1" s="1"/>
  <c r="BI56" i="1"/>
  <c r="BI19" i="1" s="1"/>
  <c r="BE56" i="1"/>
  <c r="BE19" i="1" s="1"/>
  <c r="AW56" i="1"/>
  <c r="AW19" i="1" s="1"/>
  <c r="AS56" i="1"/>
  <c r="AS19" i="1" s="1"/>
  <c r="V37" i="14" s="1"/>
  <c r="M108" i="1"/>
  <c r="AO56" i="1" s="1"/>
  <c r="AO19" i="1" s="1"/>
  <c r="BM60" i="1"/>
  <c r="BM23" i="1" s="1"/>
  <c r="BA60" i="1"/>
  <c r="BA23" i="1" s="1"/>
  <c r="BI60" i="1"/>
  <c r="BI23" i="1" s="1"/>
  <c r="BE60" i="1"/>
  <c r="BE23" i="1" s="1"/>
  <c r="AW60" i="1"/>
  <c r="AW23" i="1" s="1"/>
  <c r="AS60" i="1"/>
  <c r="AS23" i="1" s="1"/>
  <c r="V41" i="14" s="1"/>
  <c r="M112" i="1"/>
  <c r="AO60" i="1" s="1"/>
  <c r="AO23" i="1" s="1"/>
  <c r="E7" i="16"/>
  <c r="I7" i="16" s="1"/>
  <c r="M7" i="16" s="1"/>
  <c r="E7" i="15"/>
  <c r="I7" i="15" s="1"/>
  <c r="M7" i="15" s="1"/>
  <c r="R44" i="5"/>
  <c r="F11" i="12"/>
  <c r="F20" i="12" s="1"/>
  <c r="BT11" i="6"/>
  <c r="I11" i="6"/>
  <c r="CO41" i="5"/>
  <c r="U11" i="14"/>
  <c r="BH59" i="1"/>
  <c r="BH22" i="1" s="1"/>
  <c r="BD59" i="1"/>
  <c r="BD22" i="1" s="1"/>
  <c r="AV59" i="1"/>
  <c r="AV22" i="1" s="1"/>
  <c r="BL59" i="1"/>
  <c r="BL22" i="1" s="1"/>
  <c r="E102" i="15" s="1"/>
  <c r="AZ59" i="1"/>
  <c r="AZ22" i="1" s="1"/>
  <c r="AR59" i="1"/>
  <c r="AR22" i="1" s="1"/>
  <c r="M86" i="1"/>
  <c r="AN59" i="1" s="1"/>
  <c r="AN22" i="1" s="1"/>
  <c r="BH57" i="1"/>
  <c r="BH20" i="1" s="1"/>
  <c r="BD57" i="1"/>
  <c r="BD20" i="1" s="1"/>
  <c r="AV57" i="1"/>
  <c r="AV20" i="1" s="1"/>
  <c r="BL57" i="1"/>
  <c r="BL20" i="1" s="1"/>
  <c r="AZ57" i="1"/>
  <c r="AZ20" i="1" s="1"/>
  <c r="AR57" i="1"/>
  <c r="AR20" i="1" s="1"/>
  <c r="M84" i="1"/>
  <c r="AN57" i="1" s="1"/>
  <c r="AN20" i="1" s="1"/>
  <c r="BH60" i="1"/>
  <c r="BH23" i="1" s="1"/>
  <c r="BD60" i="1"/>
  <c r="BD23" i="1" s="1"/>
  <c r="AV60" i="1"/>
  <c r="AV23" i="1" s="1"/>
  <c r="BL60" i="1"/>
  <c r="BL23" i="1" s="1"/>
  <c r="AZ60" i="1"/>
  <c r="AZ23" i="1" s="1"/>
  <c r="AR60" i="1"/>
  <c r="AR23" i="1" s="1"/>
  <c r="M87" i="1"/>
  <c r="AN60" i="1" s="1"/>
  <c r="AN23" i="1" s="1"/>
  <c r="BH58" i="1"/>
  <c r="BH21" i="1" s="1"/>
  <c r="BD58" i="1"/>
  <c r="BD21" i="1" s="1"/>
  <c r="AV58" i="1"/>
  <c r="AV21" i="1" s="1"/>
  <c r="BL58" i="1"/>
  <c r="BL21" i="1" s="1"/>
  <c r="AZ58" i="1"/>
  <c r="AZ21" i="1" s="1"/>
  <c r="AR58" i="1"/>
  <c r="AR21" i="1" s="1"/>
  <c r="M85" i="1"/>
  <c r="AN58" i="1" s="1"/>
  <c r="AN21" i="1" s="1"/>
  <c r="L138" i="1"/>
  <c r="M131" i="1" a="1"/>
  <c r="BJ60" i="1"/>
  <c r="BJ23" i="1" s="1"/>
  <c r="BF60" i="1"/>
  <c r="BF23" i="1" s="1"/>
  <c r="AX60" i="1"/>
  <c r="AX23" i="1" s="1"/>
  <c r="BN60" i="1"/>
  <c r="BN23" i="1" s="1"/>
  <c r="BB60" i="1"/>
  <c r="BB23" i="1" s="1"/>
  <c r="M137" i="1"/>
  <c r="AP60" i="1" s="1"/>
  <c r="AP23" i="1" s="1"/>
  <c r="AT60" i="1"/>
  <c r="AT23" i="1" s="1"/>
  <c r="W41" i="14" s="1"/>
  <c r="BJ58" i="1"/>
  <c r="BJ21" i="1" s="1"/>
  <c r="BF58" i="1"/>
  <c r="BF21" i="1" s="1"/>
  <c r="AX58" i="1"/>
  <c r="AX21" i="1" s="1"/>
  <c r="BN58" i="1"/>
  <c r="BN21" i="1" s="1"/>
  <c r="BB58" i="1"/>
  <c r="BB21" i="1" s="1"/>
  <c r="AT58" i="1"/>
  <c r="AT21" i="1" s="1"/>
  <c r="W39" i="14" s="1"/>
  <c r="M135" i="1"/>
  <c r="AP58" i="1" s="1"/>
  <c r="AP21" i="1" s="1"/>
  <c r="O15" i="13"/>
  <c r="K35" i="13"/>
  <c r="O35" i="13" s="1"/>
  <c r="M158" i="1" a="1"/>
  <c r="M144" i="1" a="1"/>
  <c r="M157" i="1" a="1"/>
  <c r="M162" i="1" a="1"/>
  <c r="M148" i="1" a="1"/>
  <c r="E153" i="1"/>
  <c r="BM48" i="1"/>
  <c r="BM11" i="1" s="1"/>
  <c r="BA48" i="1"/>
  <c r="BA11" i="1" s="1"/>
  <c r="BI48" i="1"/>
  <c r="BI11" i="1" s="1"/>
  <c r="BE48" i="1"/>
  <c r="BE11" i="1" s="1"/>
  <c r="AW48" i="1"/>
  <c r="M99" i="1"/>
  <c r="AO48" i="1" s="1"/>
  <c r="AO11" i="1" s="1"/>
  <c r="AS48" i="1"/>
  <c r="AS11" i="1" s="1"/>
  <c r="V29" i="14" s="1"/>
  <c r="BM43" i="1"/>
  <c r="BA43" i="1"/>
  <c r="BA6" i="1" s="1"/>
  <c r="BI43" i="1"/>
  <c r="BI6" i="1" s="1"/>
  <c r="BE43" i="1"/>
  <c r="BE6" i="1" s="1"/>
  <c r="AW43" i="1"/>
  <c r="M94" i="1"/>
  <c r="AO43" i="1" s="1"/>
  <c r="AO6" i="1" s="1"/>
  <c r="AS43" i="1"/>
  <c r="AS6" i="1" s="1"/>
  <c r="V24" i="14" s="1"/>
  <c r="BM50" i="1"/>
  <c r="BM13" i="1" s="1"/>
  <c r="BA50" i="1"/>
  <c r="BA13" i="1" s="1"/>
  <c r="BI50" i="1"/>
  <c r="BI13" i="1" s="1"/>
  <c r="BE50" i="1"/>
  <c r="BE13" i="1" s="1"/>
  <c r="AW50" i="1"/>
  <c r="AS50" i="1"/>
  <c r="AS13" i="1" s="1"/>
  <c r="M101" i="1"/>
  <c r="AO50" i="1" s="1"/>
  <c r="AO13" i="1" s="1"/>
  <c r="BM44" i="1"/>
  <c r="BM7" i="1" s="1"/>
  <c r="BA44" i="1"/>
  <c r="BA7" i="1" s="1"/>
  <c r="BI44" i="1"/>
  <c r="BI7" i="1" s="1"/>
  <c r="BE44" i="1"/>
  <c r="BE7" i="1" s="1"/>
  <c r="AW44" i="1"/>
  <c r="M95" i="1"/>
  <c r="AO44" i="1" s="1"/>
  <c r="AO7" i="1" s="1"/>
  <c r="AS44" i="1"/>
  <c r="AS7" i="1" s="1"/>
  <c r="V25" i="14" s="1"/>
  <c r="BM46" i="1"/>
  <c r="BM9" i="1" s="1"/>
  <c r="BA46" i="1"/>
  <c r="BA9" i="1" s="1"/>
  <c r="BI46" i="1"/>
  <c r="BI9" i="1" s="1"/>
  <c r="BE46" i="1"/>
  <c r="BE9" i="1" s="1"/>
  <c r="AW46" i="1"/>
  <c r="AS46" i="1"/>
  <c r="AS9" i="1" s="1"/>
  <c r="V27" i="14" s="1"/>
  <c r="M97" i="1"/>
  <c r="AO46" i="1" s="1"/>
  <c r="AO9" i="1" s="1"/>
  <c r="BH45" i="1"/>
  <c r="BH8" i="1" s="1"/>
  <c r="BD45" i="1"/>
  <c r="BD8" i="1" s="1"/>
  <c r="AV45" i="1"/>
  <c r="BL45" i="1"/>
  <c r="BL8" i="1" s="1"/>
  <c r="AZ45" i="1"/>
  <c r="AZ8" i="1" s="1"/>
  <c r="AR45" i="1"/>
  <c r="AR8" i="1" s="1"/>
  <c r="M71" i="1"/>
  <c r="AN45" i="1" s="1"/>
  <c r="AN8" i="1" s="1"/>
  <c r="L56" i="5"/>
  <c r="M56" i="5" s="1"/>
  <c r="K9" i="12"/>
  <c r="K9" i="14" s="1"/>
  <c r="G21" i="14" s="1"/>
  <c r="I13" i="13"/>
  <c r="E33" i="13"/>
  <c r="N15" i="13"/>
  <c r="J35" i="13"/>
  <c r="N35" i="13" s="1"/>
  <c r="BJ48" i="1"/>
  <c r="BJ11" i="1" s="1"/>
  <c r="BF48" i="1"/>
  <c r="BF11" i="1" s="1"/>
  <c r="AX48" i="1"/>
  <c r="BN48" i="1"/>
  <c r="BN11" i="1" s="1"/>
  <c r="BB48" i="1"/>
  <c r="BB11" i="1" s="1"/>
  <c r="AT48" i="1"/>
  <c r="AT11" i="1" s="1"/>
  <c r="W29" i="14" s="1"/>
  <c r="M124" i="1"/>
  <c r="AP48" i="1" s="1"/>
  <c r="AP11" i="1" s="1"/>
  <c r="BJ43" i="1"/>
  <c r="BJ6" i="1" s="1"/>
  <c r="BF43" i="1"/>
  <c r="BF6" i="1" s="1"/>
  <c r="AX43" i="1"/>
  <c r="BN43" i="1"/>
  <c r="BN6" i="1" s="1"/>
  <c r="BB43" i="1"/>
  <c r="BB6" i="1" s="1"/>
  <c r="M119" i="1"/>
  <c r="AP43" i="1" s="1"/>
  <c r="AP6" i="1" s="1"/>
  <c r="AT43" i="1"/>
  <c r="AT6" i="1" s="1"/>
  <c r="W24" i="14" s="1"/>
  <c r="BJ44" i="1"/>
  <c r="BJ7" i="1" s="1"/>
  <c r="BF44" i="1"/>
  <c r="BF7" i="1" s="1"/>
  <c r="AX44" i="1"/>
  <c r="BN44" i="1"/>
  <c r="BN7" i="1" s="1"/>
  <c r="BB44" i="1"/>
  <c r="BB7" i="1" s="1"/>
  <c r="M120" i="1"/>
  <c r="AP44" i="1" s="1"/>
  <c r="AP7" i="1" s="1"/>
  <c r="AT44" i="1"/>
  <c r="AT7" i="1" s="1"/>
  <c r="W25" i="14" s="1"/>
  <c r="L128" i="1"/>
  <c r="M121" i="1" a="1"/>
  <c r="BJ49" i="1"/>
  <c r="BJ12" i="1" s="1"/>
  <c r="BF49" i="1"/>
  <c r="BF12" i="1" s="1"/>
  <c r="AX49" i="1"/>
  <c r="BN49" i="1"/>
  <c r="BN12" i="1" s="1"/>
  <c r="BB49" i="1"/>
  <c r="BB12" i="1" s="1"/>
  <c r="M125" i="1"/>
  <c r="AP49" i="1" s="1"/>
  <c r="AP12" i="1" s="1"/>
  <c r="AT49" i="1"/>
  <c r="AT12" i="1" s="1"/>
  <c r="W30" i="14" s="1"/>
  <c r="P7" i="13"/>
  <c r="L23" i="13"/>
  <c r="P23" i="13" s="1"/>
  <c r="J23" i="13"/>
  <c r="N23" i="13" s="1"/>
  <c r="K23" i="13"/>
  <c r="O23" i="13" s="1"/>
  <c r="AY31" i="1"/>
  <c r="DA47" i="5"/>
  <c r="L113" i="1"/>
  <c r="M106" i="1" a="1"/>
  <c r="BM57" i="1"/>
  <c r="BM20" i="1" s="1"/>
  <c r="BA57" i="1"/>
  <c r="BA20" i="1" s="1"/>
  <c r="BI57" i="1"/>
  <c r="BI20" i="1" s="1"/>
  <c r="BE57" i="1"/>
  <c r="BE20" i="1" s="1"/>
  <c r="AW57" i="1"/>
  <c r="AW20" i="1" s="1"/>
  <c r="AS57" i="1"/>
  <c r="AS20" i="1" s="1"/>
  <c r="V38" i="14" s="1"/>
  <c r="M109" i="1"/>
  <c r="AO57" i="1" s="1"/>
  <c r="AO20" i="1" s="1"/>
  <c r="BM58" i="1"/>
  <c r="BM21" i="1" s="1"/>
  <c r="BA58" i="1"/>
  <c r="BA21" i="1" s="1"/>
  <c r="BI58" i="1"/>
  <c r="BI21" i="1" s="1"/>
  <c r="BE58" i="1"/>
  <c r="BE21" i="1" s="1"/>
  <c r="AW58" i="1"/>
  <c r="AW21" i="1" s="1"/>
  <c r="AS58" i="1"/>
  <c r="AS21" i="1" s="1"/>
  <c r="V39" i="14" s="1"/>
  <c r="M110" i="1"/>
  <c r="AO58" i="1" s="1"/>
  <c r="AO21" i="1" s="1"/>
  <c r="I23" i="13"/>
  <c r="M23" i="13" s="1"/>
  <c r="C22" i="12"/>
  <c r="I15" i="13"/>
  <c r="E35" i="13"/>
  <c r="H15" i="13"/>
  <c r="E29" i="13" s="1"/>
  <c r="AA16" i="14"/>
  <c r="X16" i="14"/>
  <c r="W40" i="12"/>
  <c r="W65" i="12"/>
  <c r="G8" i="16" s="1"/>
  <c r="W60" i="12"/>
  <c r="W21" i="12"/>
  <c r="U50" i="12"/>
  <c r="EI46" i="5"/>
  <c r="X6" i="12"/>
  <c r="V19" i="12"/>
  <c r="EJ43" i="5"/>
  <c r="W11" i="12"/>
  <c r="EH44" i="5"/>
  <c r="X5" i="12"/>
  <c r="EJ46" i="5"/>
  <c r="X7" i="12"/>
  <c r="EK37" i="5"/>
  <c r="U16" i="12"/>
  <c r="U21" i="12" s="1"/>
  <c r="EI43" i="5"/>
  <c r="V11" i="12"/>
  <c r="V22" i="12" s="1"/>
  <c r="U51" i="12"/>
  <c r="V65" i="12"/>
  <c r="F8" i="16" s="1"/>
  <c r="V40" i="12"/>
  <c r="V21" i="12"/>
  <c r="V60" i="12"/>
  <c r="Y23" i="12"/>
  <c r="DG42" i="5"/>
  <c r="U52" i="12"/>
  <c r="EH40" i="5"/>
  <c r="U8" i="12"/>
  <c r="DS42" i="5"/>
  <c r="DI44" i="5"/>
  <c r="EJ44" i="5"/>
  <c r="DR44" i="5"/>
  <c r="EH42" i="5"/>
  <c r="EK42" i="5"/>
  <c r="DA42" i="5"/>
  <c r="DQ41" i="5"/>
  <c r="DZ41" i="5"/>
  <c r="EG30" i="5"/>
  <c r="EC46" i="5" s="1"/>
  <c r="EP30" i="5"/>
  <c r="DF30" i="5"/>
  <c r="DB46" i="5" s="1"/>
  <c r="DG50" i="5"/>
  <c r="DH50" i="5" s="1"/>
  <c r="DY46" i="5"/>
  <c r="EH46" i="5"/>
  <c r="DA29" i="5"/>
  <c r="DA40" i="5" s="1"/>
  <c r="CX32" i="5"/>
  <c r="DA44" i="5"/>
  <c r="EP31" i="5"/>
  <c r="DF31" i="5"/>
  <c r="CX51" i="5" s="1"/>
  <c r="CY51" i="5" s="1"/>
  <c r="DX31" i="5"/>
  <c r="DP51" i="5" s="1"/>
  <c r="DQ51" i="5" s="1"/>
  <c r="DX30" i="5"/>
  <c r="DT46" i="5" s="1"/>
  <c r="DO30" i="5"/>
  <c r="DK46" i="5" s="1"/>
  <c r="DY50" i="5"/>
  <c r="DZ50" i="5" s="1"/>
  <c r="DP46" i="5"/>
  <c r="DG46" i="5"/>
  <c r="CZ41" i="5"/>
  <c r="DR41" i="5"/>
  <c r="CY41" i="5"/>
  <c r="DH41" i="5"/>
  <c r="EI41" i="5"/>
  <c r="DZ44" i="5"/>
  <c r="DH44" i="5"/>
  <c r="EC44" i="5"/>
  <c r="EL44" i="5"/>
  <c r="DB44" i="5"/>
  <c r="DP50" i="5"/>
  <c r="DQ50" i="5" s="1"/>
  <c r="DJ42" i="5"/>
  <c r="DI41" i="5"/>
  <c r="EA41" i="5"/>
  <c r="DY44" i="5"/>
  <c r="EB29" i="5"/>
  <c r="EB40" i="5" s="1"/>
  <c r="DY32" i="5"/>
  <c r="EH32" i="5"/>
  <c r="EK29" i="5"/>
  <c r="CX46" i="5"/>
  <c r="CZ44" i="5"/>
  <c r="EA44" i="5"/>
  <c r="EM44" i="5"/>
  <c r="DC44" i="5"/>
  <c r="DU44" i="5"/>
  <c r="EJ41" i="5"/>
  <c r="EI44" i="5"/>
  <c r="DQ44" i="5"/>
  <c r="CY44" i="5"/>
  <c r="DT44" i="5"/>
  <c r="DK44" i="5"/>
  <c r="DY42" i="5"/>
  <c r="EB42" i="5"/>
  <c r="EH50" i="5"/>
  <c r="EI50" i="5" s="1"/>
  <c r="EH52" i="5"/>
  <c r="EI52" i="5" s="1"/>
  <c r="CX50" i="5"/>
  <c r="CY50" i="5" s="1"/>
  <c r="DS29" i="5"/>
  <c r="DP32" i="5"/>
  <c r="DP41" i="5" s="1"/>
  <c r="DG44" i="5"/>
  <c r="DG32" i="5"/>
  <c r="DG41" i="5" s="1"/>
  <c r="DJ29" i="5"/>
  <c r="DJ40" i="5" s="1"/>
  <c r="DO31" i="5"/>
  <c r="DG51" i="5" s="1"/>
  <c r="DH51" i="5" s="1"/>
  <c r="EG31" i="5"/>
  <c r="DY51" i="5" s="1"/>
  <c r="DZ51" i="5" s="1"/>
  <c r="CO56" i="5"/>
  <c r="CS46" i="5"/>
  <c r="BZ6" i="6"/>
  <c r="BZ29" i="6" s="1" a="1"/>
  <c r="BZ37" i="6" s="1"/>
  <c r="U42" i="5"/>
  <c r="U43" i="5"/>
  <c r="X41" i="5"/>
  <c r="BW42" i="5"/>
  <c r="CH44" i="5"/>
  <c r="CF42" i="5"/>
  <c r="CI42" i="5"/>
  <c r="BZ42" i="5"/>
  <c r="BX44" i="5"/>
  <c r="CG41" i="5"/>
  <c r="CN30" i="5"/>
  <c r="CJ46" i="5" s="1"/>
  <c r="CF46" i="5"/>
  <c r="CE31" i="5"/>
  <c r="BW51" i="5" s="1"/>
  <c r="BX51" i="5" s="1"/>
  <c r="U57" i="5"/>
  <c r="V57" i="5" s="1"/>
  <c r="U56" i="5"/>
  <c r="V56" i="5" s="1"/>
  <c r="CE30" i="5"/>
  <c r="CA46" i="5" s="1"/>
  <c r="BZ29" i="5"/>
  <c r="BZ40" i="5" s="1"/>
  <c r="BW32" i="5"/>
  <c r="CN31" i="5"/>
  <c r="CF51" i="5" s="1"/>
  <c r="CG51" i="5" s="1"/>
  <c r="O41" i="5"/>
  <c r="CJ44" i="5"/>
  <c r="CF44" i="5"/>
  <c r="CI29" i="5"/>
  <c r="CF32" i="5"/>
  <c r="CF41" i="5" s="1"/>
  <c r="CB44" i="5"/>
  <c r="CH41" i="5"/>
  <c r="BX41" i="5"/>
  <c r="Z46" i="5"/>
  <c r="CF50" i="5"/>
  <c r="CG50" i="5" s="1"/>
  <c r="CG44" i="5"/>
  <c r="BY41" i="5"/>
  <c r="Y46" i="5"/>
  <c r="CA44" i="5"/>
  <c r="BW46" i="5"/>
  <c r="CK44" i="5"/>
  <c r="U50" i="5"/>
  <c r="V50" i="5" s="1"/>
  <c r="U52" i="5"/>
  <c r="V52" i="5" s="1"/>
  <c r="X42" i="5"/>
  <c r="AC32" i="5"/>
  <c r="AA46" i="5" s="1"/>
  <c r="X43" i="5"/>
  <c r="BY44" i="5"/>
  <c r="BW50" i="5"/>
  <c r="BX50" i="5" s="1"/>
  <c r="O43" i="5"/>
  <c r="T32" i="5"/>
  <c r="CR46" i="5"/>
  <c r="CR40" i="5"/>
  <c r="CR44" i="5"/>
  <c r="CR32" i="5"/>
  <c r="CO43" i="5"/>
  <c r="I44" i="5"/>
  <c r="K32" i="5"/>
  <c r="I46" i="5" s="1"/>
  <c r="F43" i="5"/>
  <c r="F9" i="6"/>
  <c r="H10" i="6"/>
  <c r="CJ5" i="6"/>
  <c r="CF5" i="6"/>
  <c r="CJ14" i="6"/>
  <c r="CL14" i="6" s="1"/>
  <c r="CX12" i="6"/>
  <c r="CF12" i="6"/>
  <c r="M8" i="6"/>
  <c r="N9" i="6"/>
  <c r="BC11" i="6"/>
  <c r="BG11" i="6"/>
  <c r="BH12" i="6"/>
  <c r="BI12" i="6" s="1"/>
  <c r="AX12" i="6"/>
  <c r="AQ7" i="6"/>
  <c r="AS8" i="6"/>
  <c r="S11" i="6"/>
  <c r="AA11" i="6" s="1"/>
  <c r="AK8" i="6"/>
  <c r="AM9" i="6"/>
  <c r="AE8" i="6"/>
  <c r="AG9" i="6"/>
  <c r="AW8" i="6"/>
  <c r="W9" i="6"/>
  <c r="X10" i="6"/>
  <c r="BC6" i="1" l="1"/>
  <c r="BC11" i="1"/>
  <c r="E90" i="15"/>
  <c r="E130" i="13"/>
  <c r="E87" i="15"/>
  <c r="E126" i="13"/>
  <c r="BO10" i="1"/>
  <c r="E119" i="13"/>
  <c r="L163" i="1"/>
  <c r="E118" i="13"/>
  <c r="AQ23" i="1"/>
  <c r="AQ22" i="1"/>
  <c r="AY22" i="1"/>
  <c r="BK22" i="1"/>
  <c r="BC14" i="1"/>
  <c r="BO44" i="1"/>
  <c r="BC44" i="1"/>
  <c r="BK44" i="1"/>
  <c r="BG44" i="1"/>
  <c r="AY44" i="1"/>
  <c r="M145" i="1"/>
  <c r="AQ44" i="1" s="1"/>
  <c r="AU44" i="1"/>
  <c r="BO49" i="1"/>
  <c r="BC49" i="1"/>
  <c r="BK49" i="1"/>
  <c r="BG49" i="1"/>
  <c r="AY49" i="1"/>
  <c r="M150" i="1"/>
  <c r="AQ49" i="1" s="1"/>
  <c r="AU49" i="1"/>
  <c r="BO58" i="1"/>
  <c r="BC58" i="1"/>
  <c r="BK58" i="1"/>
  <c r="BG58" i="1"/>
  <c r="AY58" i="1"/>
  <c r="M160" i="1"/>
  <c r="AQ58" i="1" s="1"/>
  <c r="AU58" i="1"/>
  <c r="BO46" i="1"/>
  <c r="BC46" i="1"/>
  <c r="BK46" i="1"/>
  <c r="BG46" i="1"/>
  <c r="AY46" i="1"/>
  <c r="M147" i="1"/>
  <c r="AQ46" i="1" s="1"/>
  <c r="AU46" i="1"/>
  <c r="BO51" i="1"/>
  <c r="BC51" i="1"/>
  <c r="BK51" i="1"/>
  <c r="BG51" i="1"/>
  <c r="AY51" i="1"/>
  <c r="M152" i="1"/>
  <c r="AQ51" i="1" s="1"/>
  <c r="AU51" i="1"/>
  <c r="BO59" i="1"/>
  <c r="BC59" i="1"/>
  <c r="BK59" i="1"/>
  <c r="BG59" i="1"/>
  <c r="AY59" i="1"/>
  <c r="M161" i="1"/>
  <c r="AQ59" i="1" s="1"/>
  <c r="AU59" i="1"/>
  <c r="BT10" i="6"/>
  <c r="I10" i="6"/>
  <c r="CR41" i="5"/>
  <c r="X11" i="14"/>
  <c r="R46" i="5"/>
  <c r="K11" i="12"/>
  <c r="K11" i="14" s="1"/>
  <c r="AC9" i="12"/>
  <c r="AA17" i="12" s="1"/>
  <c r="X16" i="12"/>
  <c r="X65" i="12" s="1"/>
  <c r="H8" i="16" s="1"/>
  <c r="H16" i="13"/>
  <c r="F76" i="15"/>
  <c r="J76" i="15" s="1"/>
  <c r="N76" i="15" s="1"/>
  <c r="F76" i="16"/>
  <c r="J76" i="16" s="1"/>
  <c r="N76" i="16" s="1"/>
  <c r="F108" i="13"/>
  <c r="J108" i="13" s="1"/>
  <c r="N108" i="13" s="1"/>
  <c r="F100" i="16"/>
  <c r="F100" i="15"/>
  <c r="F128" i="13"/>
  <c r="G92" i="16"/>
  <c r="G92" i="15"/>
  <c r="G120" i="13"/>
  <c r="AT45" i="1"/>
  <c r="AT8" i="1" s="1"/>
  <c r="W26" i="14" s="1"/>
  <c r="BJ45" i="1"/>
  <c r="BJ8" i="1" s="1"/>
  <c r="BF45" i="1"/>
  <c r="BF8" i="1" s="1"/>
  <c r="AX45" i="1"/>
  <c r="BN45" i="1"/>
  <c r="BN8" i="1" s="1"/>
  <c r="BB45" i="1"/>
  <c r="BB8" i="1" s="1"/>
  <c r="S128" i="1"/>
  <c r="O128" i="1"/>
  <c r="R128" i="1"/>
  <c r="M121" i="1"/>
  <c r="Q128" i="1"/>
  <c r="P128" i="1"/>
  <c r="N128" i="1"/>
  <c r="G62" i="15"/>
  <c r="G62" i="16"/>
  <c r="K62" i="16" s="1"/>
  <c r="O62" i="16" s="1"/>
  <c r="G94" i="13"/>
  <c r="K94" i="13" s="1"/>
  <c r="O94" i="13" s="1"/>
  <c r="G86" i="16"/>
  <c r="G114" i="13"/>
  <c r="G86" i="15"/>
  <c r="U26" i="14"/>
  <c r="E88" i="16"/>
  <c r="E88" i="15"/>
  <c r="E116" i="13"/>
  <c r="F89" i="16"/>
  <c r="F89" i="15"/>
  <c r="F117" i="13"/>
  <c r="F93" i="16"/>
  <c r="F93" i="15"/>
  <c r="F121" i="13"/>
  <c r="F98" i="13"/>
  <c r="J98" i="13" s="1"/>
  <c r="N98" i="13" s="1"/>
  <c r="F66" i="16"/>
  <c r="J66" i="16" s="1"/>
  <c r="N66" i="16" s="1"/>
  <c r="F66" i="15"/>
  <c r="J66" i="15" s="1"/>
  <c r="N66" i="15" s="1"/>
  <c r="F91" i="16"/>
  <c r="F91" i="15"/>
  <c r="F119" i="13"/>
  <c r="BO60" i="1"/>
  <c r="BC60" i="1"/>
  <c r="BK60" i="1"/>
  <c r="BG60" i="1"/>
  <c r="AY60" i="1"/>
  <c r="M162" i="1"/>
  <c r="AQ60" i="1" s="1"/>
  <c r="AU60" i="1"/>
  <c r="BO43" i="1"/>
  <c r="BC43" i="1"/>
  <c r="BK43" i="1"/>
  <c r="BG43" i="1"/>
  <c r="AY43" i="1"/>
  <c r="M144" i="1"/>
  <c r="AQ43" i="1" s="1"/>
  <c r="AU43" i="1"/>
  <c r="BO48" i="1"/>
  <c r="BC48" i="1"/>
  <c r="BK48" i="1"/>
  <c r="BG48" i="1"/>
  <c r="AY48" i="1"/>
  <c r="M149" i="1"/>
  <c r="AQ48" i="1" s="1"/>
  <c r="AU48" i="1"/>
  <c r="G108" i="13"/>
  <c r="K108" i="13" s="1"/>
  <c r="O108" i="13" s="1"/>
  <c r="G76" i="16"/>
  <c r="K76" i="16" s="1"/>
  <c r="O76" i="16" s="1"/>
  <c r="G76" i="15"/>
  <c r="K76" i="15" s="1"/>
  <c r="O76" i="15" s="1"/>
  <c r="G101" i="16"/>
  <c r="G101" i="15"/>
  <c r="G129" i="13"/>
  <c r="G78" i="15"/>
  <c r="K78" i="15" s="1"/>
  <c r="O78" i="15" s="1"/>
  <c r="G78" i="16"/>
  <c r="G110" i="13"/>
  <c r="K110" i="13" s="1"/>
  <c r="O110" i="13" s="1"/>
  <c r="AU21" i="1"/>
  <c r="X39" i="14" s="1"/>
  <c r="U39" i="14"/>
  <c r="E101" i="16"/>
  <c r="E101" i="15"/>
  <c r="E129" i="13"/>
  <c r="BO21" i="1"/>
  <c r="BG21" i="1"/>
  <c r="BC23" i="1"/>
  <c r="AY23" i="1"/>
  <c r="BK23" i="1"/>
  <c r="AU20" i="1"/>
  <c r="X38" i="14" s="1"/>
  <c r="U38" i="14"/>
  <c r="E100" i="16"/>
  <c r="E128" i="13"/>
  <c r="E100" i="15"/>
  <c r="BO20" i="1"/>
  <c r="BG20" i="1"/>
  <c r="F110" i="13"/>
  <c r="J110" i="13" s="1"/>
  <c r="N110" i="13" s="1"/>
  <c r="F78" i="16"/>
  <c r="J78" i="16" s="1"/>
  <c r="N78" i="16" s="1"/>
  <c r="F78" i="15"/>
  <c r="J78" i="15" s="1"/>
  <c r="N78" i="15" s="1"/>
  <c r="F99" i="16"/>
  <c r="F127" i="13"/>
  <c r="F99" i="15"/>
  <c r="F109" i="13"/>
  <c r="J109" i="13" s="1"/>
  <c r="N109" i="13" s="1"/>
  <c r="F77" i="16"/>
  <c r="F77" i="15"/>
  <c r="F98" i="16"/>
  <c r="F126" i="13"/>
  <c r="F98" i="15"/>
  <c r="AT5" i="1"/>
  <c r="BB5" i="1"/>
  <c r="G93" i="16"/>
  <c r="G93" i="15"/>
  <c r="G121" i="13"/>
  <c r="G101" i="13"/>
  <c r="K101" i="13" s="1"/>
  <c r="O101" i="13" s="1"/>
  <c r="G69" i="16"/>
  <c r="K69" i="16" s="1"/>
  <c r="O69" i="16" s="1"/>
  <c r="G69" i="15"/>
  <c r="K69" i="15" s="1"/>
  <c r="O69" i="15" s="1"/>
  <c r="G97" i="13"/>
  <c r="K97" i="13" s="1"/>
  <c r="O97" i="13" s="1"/>
  <c r="G65" i="16"/>
  <c r="K65" i="16" s="1"/>
  <c r="O65" i="16" s="1"/>
  <c r="G65" i="15"/>
  <c r="G90" i="16"/>
  <c r="G90" i="15"/>
  <c r="G118" i="13"/>
  <c r="BL54" i="1"/>
  <c r="AZ54" i="1"/>
  <c r="BH54" i="1"/>
  <c r="BD54" i="1"/>
  <c r="AV54" i="1"/>
  <c r="AV17" i="1" s="1"/>
  <c r="M81" i="1"/>
  <c r="AR54" i="1"/>
  <c r="F65" i="12"/>
  <c r="F16" i="14"/>
  <c r="F21" i="12"/>
  <c r="E27" i="13"/>
  <c r="H33" i="13"/>
  <c r="H27" i="13"/>
  <c r="L13" i="13"/>
  <c r="I27" i="13" s="1"/>
  <c r="G27" i="13"/>
  <c r="F27" i="13"/>
  <c r="L143" i="1"/>
  <c r="M143" i="1" s="1" a="1"/>
  <c r="AM35" i="1"/>
  <c r="BO50" i="1"/>
  <c r="BC50" i="1"/>
  <c r="BK50" i="1"/>
  <c r="BG50" i="1"/>
  <c r="AY50" i="1"/>
  <c r="AU50" i="1"/>
  <c r="M151" i="1"/>
  <c r="AQ50" i="1" s="1"/>
  <c r="G25" i="12"/>
  <c r="AQ13" i="1"/>
  <c r="E93" i="16"/>
  <c r="E93" i="15"/>
  <c r="BO13" i="1"/>
  <c r="E121" i="13"/>
  <c r="BG13" i="1"/>
  <c r="AR52" i="1"/>
  <c r="AR5" i="1"/>
  <c r="BD52" i="1"/>
  <c r="BD5" i="1"/>
  <c r="BL52" i="1"/>
  <c r="BL5" i="1"/>
  <c r="AU7" i="1"/>
  <c r="X25" i="14" s="1"/>
  <c r="U25" i="14"/>
  <c r="E87" i="16"/>
  <c r="BO7" i="1"/>
  <c r="BG7" i="1"/>
  <c r="AS45" i="1"/>
  <c r="AS8" i="1" s="1"/>
  <c r="V26" i="14" s="1"/>
  <c r="BM45" i="1"/>
  <c r="BM8" i="1" s="1"/>
  <c r="BA45" i="1"/>
  <c r="BA8" i="1" s="1"/>
  <c r="BC8" i="1" s="1"/>
  <c r="BI45" i="1"/>
  <c r="BI8" i="1" s="1"/>
  <c r="BE45" i="1"/>
  <c r="BE8" i="1" s="1"/>
  <c r="AW45" i="1"/>
  <c r="R103" i="1"/>
  <c r="Q103" i="1"/>
  <c r="M96" i="1"/>
  <c r="P103" i="1"/>
  <c r="O103" i="1"/>
  <c r="N103" i="1"/>
  <c r="S103" i="1"/>
  <c r="AO5" i="1"/>
  <c r="BA52" i="1"/>
  <c r="BA5" i="1"/>
  <c r="BI5" i="1"/>
  <c r="F99" i="13"/>
  <c r="J99" i="13" s="1"/>
  <c r="N99" i="13" s="1"/>
  <c r="F67" i="16"/>
  <c r="F67" i="15"/>
  <c r="J67" i="15" s="1"/>
  <c r="N67" i="15" s="1"/>
  <c r="F101" i="13"/>
  <c r="J101" i="13" s="1"/>
  <c r="N101" i="13" s="1"/>
  <c r="F69" i="16"/>
  <c r="J69" i="16" s="1"/>
  <c r="N69" i="16" s="1"/>
  <c r="F69" i="15"/>
  <c r="J69" i="15" s="1"/>
  <c r="N69" i="15" s="1"/>
  <c r="F94" i="16"/>
  <c r="F122" i="13"/>
  <c r="F94" i="15"/>
  <c r="M156" i="1" a="1"/>
  <c r="G73" i="15"/>
  <c r="K73" i="15" s="1"/>
  <c r="O73" i="15" s="1"/>
  <c r="G73" i="16"/>
  <c r="K73" i="16" s="1"/>
  <c r="O73" i="16" s="1"/>
  <c r="G105" i="13"/>
  <c r="K105" i="13" s="1"/>
  <c r="O105" i="13" s="1"/>
  <c r="G99" i="16"/>
  <c r="G99" i="15"/>
  <c r="G127" i="13"/>
  <c r="G109" i="13"/>
  <c r="K109" i="13" s="1"/>
  <c r="O109" i="13" s="1"/>
  <c r="G77" i="16"/>
  <c r="G77" i="15"/>
  <c r="BC22" i="1"/>
  <c r="G75" i="15"/>
  <c r="K75" i="15" s="1"/>
  <c r="O75" i="15" s="1"/>
  <c r="G75" i="16"/>
  <c r="G107" i="13"/>
  <c r="K107" i="13" s="1"/>
  <c r="O107" i="13" s="1"/>
  <c r="G100" i="16"/>
  <c r="G128" i="13"/>
  <c r="G100" i="15"/>
  <c r="AQ19" i="1"/>
  <c r="AY19" i="1"/>
  <c r="BK19" i="1"/>
  <c r="AQ18" i="1"/>
  <c r="AY18" i="1"/>
  <c r="BK18" i="1"/>
  <c r="AQ12" i="1"/>
  <c r="BC12" i="1"/>
  <c r="BK12" i="1"/>
  <c r="AQ10" i="1"/>
  <c r="BG10" i="1"/>
  <c r="AQ9" i="1"/>
  <c r="BC9" i="1"/>
  <c r="BK9" i="1"/>
  <c r="AU6" i="1"/>
  <c r="X24" i="14" s="1"/>
  <c r="U24" i="14"/>
  <c r="E86" i="16"/>
  <c r="E114" i="13"/>
  <c r="E86" i="15"/>
  <c r="BG6" i="1"/>
  <c r="AU14" i="1"/>
  <c r="X32" i="14" s="1"/>
  <c r="U32" i="14"/>
  <c r="BK14" i="1"/>
  <c r="AQ11" i="1"/>
  <c r="E91" i="16"/>
  <c r="BO11" i="1"/>
  <c r="BG11" i="1"/>
  <c r="U55" i="12" a="1"/>
  <c r="U55" i="12" s="1"/>
  <c r="X19" i="14"/>
  <c r="Y20" i="14"/>
  <c r="L15" i="13"/>
  <c r="H29" i="13"/>
  <c r="H35" i="13"/>
  <c r="F29" i="13"/>
  <c r="G29" i="13"/>
  <c r="M15" i="13"/>
  <c r="I29" i="13"/>
  <c r="M29" i="13" s="1"/>
  <c r="I35" i="13"/>
  <c r="M35" i="13" s="1"/>
  <c r="F101" i="16"/>
  <c r="F129" i="13"/>
  <c r="F101" i="15"/>
  <c r="F107" i="13"/>
  <c r="J107" i="13" s="1"/>
  <c r="N107" i="13" s="1"/>
  <c r="F75" i="16"/>
  <c r="F75" i="15"/>
  <c r="J75" i="15" s="1"/>
  <c r="N75" i="15" s="1"/>
  <c r="BI54" i="1"/>
  <c r="BE54" i="1"/>
  <c r="BE17" i="1" s="1"/>
  <c r="AW54" i="1"/>
  <c r="AW17" i="1" s="1"/>
  <c r="AW24" i="1" s="1"/>
  <c r="BM54" i="1"/>
  <c r="BA54" i="1"/>
  <c r="BA17" i="1" s="1"/>
  <c r="AS54" i="1"/>
  <c r="O113" i="1"/>
  <c r="N113" i="1"/>
  <c r="P113" i="1"/>
  <c r="M106" i="1"/>
  <c r="S113" i="1"/>
  <c r="Q113" i="1"/>
  <c r="R113" i="1"/>
  <c r="G67" i="15"/>
  <c r="K67" i="15" s="1"/>
  <c r="O67" i="15" s="1"/>
  <c r="G67" i="16"/>
  <c r="K67" i="16" s="1"/>
  <c r="O67" i="16" s="1"/>
  <c r="G99" i="13"/>
  <c r="K99" i="13" s="1"/>
  <c r="O99" i="13" s="1"/>
  <c r="G87" i="16"/>
  <c r="G115" i="13"/>
  <c r="G87" i="15"/>
  <c r="G93" i="13"/>
  <c r="K93" i="13" s="1"/>
  <c r="O93" i="13" s="1"/>
  <c r="G61" i="16"/>
  <c r="G61" i="15"/>
  <c r="K61" i="15" s="1"/>
  <c r="O61" i="15" s="1"/>
  <c r="G66" i="15"/>
  <c r="K66" i="15" s="1"/>
  <c r="O66" i="15" s="1"/>
  <c r="G66" i="16"/>
  <c r="G98" i="13"/>
  <c r="K98" i="13" s="1"/>
  <c r="O98" i="13" s="1"/>
  <c r="G91" i="16"/>
  <c r="G91" i="15"/>
  <c r="G119" i="13"/>
  <c r="M13" i="13"/>
  <c r="I33" i="13"/>
  <c r="M33" i="13" s="1"/>
  <c r="F96" i="13"/>
  <c r="J96" i="13" s="1"/>
  <c r="N96" i="13" s="1"/>
  <c r="F64" i="16"/>
  <c r="F64" i="15"/>
  <c r="J64" i="15" s="1"/>
  <c r="N64" i="15" s="1"/>
  <c r="F94" i="13"/>
  <c r="J94" i="13" s="1"/>
  <c r="N94" i="13" s="1"/>
  <c r="F62" i="16"/>
  <c r="J62" i="16" s="1"/>
  <c r="N62" i="16" s="1"/>
  <c r="F62" i="15"/>
  <c r="F87" i="16"/>
  <c r="F115" i="13"/>
  <c r="F87" i="15"/>
  <c r="AU13" i="1"/>
  <c r="X31" i="14" s="1"/>
  <c r="V31" i="14"/>
  <c r="F93" i="13"/>
  <c r="J93" i="13" s="1"/>
  <c r="N93" i="13" s="1"/>
  <c r="F61" i="16"/>
  <c r="F61" i="15"/>
  <c r="J61" i="15" s="1"/>
  <c r="N61" i="15" s="1"/>
  <c r="BM6" i="1"/>
  <c r="BM15" i="1" s="1"/>
  <c r="AU45" i="1"/>
  <c r="BO45" i="1"/>
  <c r="BC45" i="1"/>
  <c r="BK45" i="1"/>
  <c r="BG45" i="1"/>
  <c r="AY45" i="1"/>
  <c r="M146" i="1"/>
  <c r="P153" i="1"/>
  <c r="Q153" i="1"/>
  <c r="O153" i="1"/>
  <c r="R153" i="1"/>
  <c r="N153" i="1"/>
  <c r="S153" i="1"/>
  <c r="BO47" i="1"/>
  <c r="BC47" i="1"/>
  <c r="BK47" i="1"/>
  <c r="BG47" i="1"/>
  <c r="AY47" i="1"/>
  <c r="M148" i="1"/>
  <c r="AQ47" i="1" s="1"/>
  <c r="AU47" i="1"/>
  <c r="BO55" i="1"/>
  <c r="BC55" i="1"/>
  <c r="BK55" i="1"/>
  <c r="BG55" i="1"/>
  <c r="AY55" i="1"/>
  <c r="M157" i="1"/>
  <c r="AQ55" i="1" s="1"/>
  <c r="AU55" i="1"/>
  <c r="BO56" i="1"/>
  <c r="BC56" i="1"/>
  <c r="BK56" i="1"/>
  <c r="BG56" i="1"/>
  <c r="AY56" i="1"/>
  <c r="M158" i="1"/>
  <c r="AQ56" i="1" s="1"/>
  <c r="AU56" i="1"/>
  <c r="BC21" i="1"/>
  <c r="G103" i="16"/>
  <c r="G131" i="13"/>
  <c r="G103" i="15"/>
  <c r="BN54" i="1"/>
  <c r="BB54" i="1"/>
  <c r="BJ54" i="1"/>
  <c r="BF54" i="1"/>
  <c r="AX54" i="1"/>
  <c r="AX17" i="1" s="1"/>
  <c r="AX24" i="1" s="1"/>
  <c r="Q138" i="1"/>
  <c r="AT54" i="1"/>
  <c r="O138" i="1"/>
  <c r="N138" i="1"/>
  <c r="P138" i="1"/>
  <c r="M131" i="1"/>
  <c r="S138" i="1"/>
  <c r="R138" i="1"/>
  <c r="AQ21" i="1"/>
  <c r="AY21" i="1"/>
  <c r="BK21" i="1"/>
  <c r="AU23" i="1"/>
  <c r="X41" i="14" s="1"/>
  <c r="U41" i="14"/>
  <c r="E103" i="16"/>
  <c r="E131" i="13"/>
  <c r="E103" i="15"/>
  <c r="E106" i="15" s="1"/>
  <c r="T129" i="15" s="1"/>
  <c r="BO23" i="1"/>
  <c r="BG23" i="1"/>
  <c r="AQ20" i="1"/>
  <c r="AY20" i="1"/>
  <c r="BK20" i="1"/>
  <c r="AU22" i="1"/>
  <c r="X40" i="14" s="1"/>
  <c r="U40" i="14"/>
  <c r="BO22" i="1"/>
  <c r="E102" i="16"/>
  <c r="BG22" i="1"/>
  <c r="F11" i="14"/>
  <c r="F22" i="12"/>
  <c r="I23" i="12"/>
  <c r="F103" i="16"/>
  <c r="F131" i="13"/>
  <c r="F103" i="15"/>
  <c r="F106" i="13"/>
  <c r="J106" i="13" s="1"/>
  <c r="N106" i="13" s="1"/>
  <c r="F74" i="16"/>
  <c r="J74" i="16" s="1"/>
  <c r="N74" i="16" s="1"/>
  <c r="F74" i="15"/>
  <c r="F102" i="16"/>
  <c r="F130" i="13"/>
  <c r="F102" i="15"/>
  <c r="F106" i="15" s="1"/>
  <c r="W134" i="15" s="1"/>
  <c r="F105" i="13"/>
  <c r="J105" i="13" s="1"/>
  <c r="N105" i="13" s="1"/>
  <c r="F73" i="16"/>
  <c r="J73" i="16" s="1"/>
  <c r="N73" i="16" s="1"/>
  <c r="F73" i="15"/>
  <c r="J73" i="15" s="1"/>
  <c r="N73" i="15" s="1"/>
  <c r="BE18" i="1"/>
  <c r="BG18" i="1" s="1"/>
  <c r="BA61" i="1"/>
  <c r="BA18" i="1"/>
  <c r="BC18" i="1" s="1"/>
  <c r="AP5" i="1"/>
  <c r="BF5" i="1"/>
  <c r="BJ5" i="1"/>
  <c r="BN5" i="1"/>
  <c r="G96" i="13"/>
  <c r="K96" i="13" s="1"/>
  <c r="O96" i="13" s="1"/>
  <c r="G64" i="16"/>
  <c r="G64" i="15"/>
  <c r="K64" i="15" s="1"/>
  <c r="O64" i="15" s="1"/>
  <c r="G89" i="16"/>
  <c r="G117" i="13"/>
  <c r="G89" i="15"/>
  <c r="G100" i="13"/>
  <c r="K100" i="13" s="1"/>
  <c r="O100" i="13" s="1"/>
  <c r="G68" i="16"/>
  <c r="G68" i="15"/>
  <c r="BC13" i="1"/>
  <c r="G94" i="16"/>
  <c r="G94" i="15"/>
  <c r="G122" i="13"/>
  <c r="E5" i="15"/>
  <c r="I5" i="15" s="1"/>
  <c r="M5" i="15" s="1"/>
  <c r="E5" i="16"/>
  <c r="I5" i="16" s="1"/>
  <c r="M5" i="16" s="1"/>
  <c r="L153" i="1"/>
  <c r="BO57" i="1"/>
  <c r="BC57" i="1"/>
  <c r="BK57" i="1"/>
  <c r="BG57" i="1"/>
  <c r="AY57" i="1"/>
  <c r="AU57" i="1"/>
  <c r="M159" i="1"/>
  <c r="AQ57" i="1" s="1"/>
  <c r="E100" i="13"/>
  <c r="I100" i="13" s="1"/>
  <c r="M100" i="13" s="1"/>
  <c r="E68" i="16"/>
  <c r="E68" i="15"/>
  <c r="I68" i="15" s="1"/>
  <c r="M68" i="15" s="1"/>
  <c r="BK13" i="1"/>
  <c r="M78" i="1"/>
  <c r="AN42" i="1"/>
  <c r="BH52" i="1"/>
  <c r="BH5" i="1"/>
  <c r="AZ52" i="1"/>
  <c r="AZ5" i="1"/>
  <c r="AQ7" i="1"/>
  <c r="BC7" i="1"/>
  <c r="BK7" i="1"/>
  <c r="AS5" i="1"/>
  <c r="F85" i="16"/>
  <c r="F85" i="15"/>
  <c r="F113" i="13"/>
  <c r="BE5" i="1"/>
  <c r="F92" i="16"/>
  <c r="F92" i="15"/>
  <c r="F120" i="13"/>
  <c r="F97" i="13"/>
  <c r="J97" i="13" s="1"/>
  <c r="N97" i="13" s="1"/>
  <c r="F65" i="16"/>
  <c r="F65" i="15"/>
  <c r="F90" i="16"/>
  <c r="F90" i="15"/>
  <c r="F118" i="13"/>
  <c r="G98" i="16"/>
  <c r="G126" i="13"/>
  <c r="G98" i="15"/>
  <c r="G74" i="15"/>
  <c r="G74" i="16"/>
  <c r="K74" i="16" s="1"/>
  <c r="O74" i="16" s="1"/>
  <c r="G106" i="13"/>
  <c r="K106" i="13" s="1"/>
  <c r="O106" i="13" s="1"/>
  <c r="BC19" i="1"/>
  <c r="G102" i="16"/>
  <c r="G130" i="13"/>
  <c r="G102" i="15"/>
  <c r="BC20" i="1"/>
  <c r="AU19" i="1"/>
  <c r="X37" i="14" s="1"/>
  <c r="U37" i="14"/>
  <c r="E99" i="16"/>
  <c r="E127" i="13"/>
  <c r="E99" i="15"/>
  <c r="BO19" i="1"/>
  <c r="BG19" i="1"/>
  <c r="AU18" i="1"/>
  <c r="X36" i="14" s="1"/>
  <c r="U36" i="14"/>
  <c r="E98" i="16"/>
  <c r="BO18" i="1"/>
  <c r="AU12" i="1"/>
  <c r="X30" i="14" s="1"/>
  <c r="U30" i="14"/>
  <c r="E92" i="16"/>
  <c r="E92" i="15"/>
  <c r="BO12" i="1"/>
  <c r="E120" i="13"/>
  <c r="BG12" i="1"/>
  <c r="U28" i="14"/>
  <c r="AU10" i="1"/>
  <c r="X28" i="14" s="1"/>
  <c r="BC10" i="1"/>
  <c r="BK10" i="1"/>
  <c r="U27" i="14"/>
  <c r="AU9" i="1"/>
  <c r="X27" i="14" s="1"/>
  <c r="E89" i="16"/>
  <c r="E89" i="15"/>
  <c r="BO9" i="1"/>
  <c r="E117" i="13"/>
  <c r="BG9" i="1"/>
  <c r="AQ6" i="1"/>
  <c r="BK6" i="1"/>
  <c r="AQ14" i="1"/>
  <c r="E94" i="16"/>
  <c r="E94" i="15"/>
  <c r="E122" i="13"/>
  <c r="BO14" i="1"/>
  <c r="BG14" i="1"/>
  <c r="U29" i="14"/>
  <c r="AU11" i="1"/>
  <c r="X29" i="14" s="1"/>
  <c r="BK11" i="1"/>
  <c r="CX52" i="5"/>
  <c r="CY52" i="5" s="1"/>
  <c r="DJ44" i="5"/>
  <c r="V34" i="12"/>
  <c r="V37" i="12"/>
  <c r="U65" i="12"/>
  <c r="E8" i="16" s="1"/>
  <c r="U40" i="12"/>
  <c r="U60" i="12"/>
  <c r="U61" i="12" s="1" a="1"/>
  <c r="V20" i="12"/>
  <c r="G8" i="15"/>
  <c r="EK40" i="5"/>
  <c r="X8" i="12"/>
  <c r="X19" i="12" s="1"/>
  <c r="F8" i="15"/>
  <c r="W22" i="12"/>
  <c r="W20" i="12"/>
  <c r="W37" i="12"/>
  <c r="W34" i="12"/>
  <c r="U25" i="12"/>
  <c r="U23" i="12"/>
  <c r="U19" i="12"/>
  <c r="EH41" i="5"/>
  <c r="U11" i="12"/>
  <c r="U20" i="12" s="1"/>
  <c r="W25" i="12"/>
  <c r="W23" i="12"/>
  <c r="EH51" i="5"/>
  <c r="EI51" i="5" s="1"/>
  <c r="AC10" i="12"/>
  <c r="Z25" i="12" s="1"/>
  <c r="EL46" i="5"/>
  <c r="V25" i="12"/>
  <c r="V23" i="12"/>
  <c r="DL46" i="5"/>
  <c r="EB44" i="5"/>
  <c r="EM46" i="5"/>
  <c r="DP52" i="5"/>
  <c r="DQ52" i="5" s="1"/>
  <c r="ED46" i="5"/>
  <c r="EK44" i="5"/>
  <c r="DY52" i="5"/>
  <c r="DZ52" i="5" s="1"/>
  <c r="DU46" i="5"/>
  <c r="DC46" i="5"/>
  <c r="DG52" i="5"/>
  <c r="DH52" i="5" s="1"/>
  <c r="DS46" i="5"/>
  <c r="DY43" i="5"/>
  <c r="EB32" i="5"/>
  <c r="DS40" i="5"/>
  <c r="CX43" i="5"/>
  <c r="DA32" i="5"/>
  <c r="DJ46" i="5"/>
  <c r="DG43" i="5"/>
  <c r="DJ32" i="5"/>
  <c r="DM44" i="5" s="1"/>
  <c r="DS44" i="5"/>
  <c r="DP43" i="5"/>
  <c r="DS32" i="5"/>
  <c r="DS41" i="5" s="1"/>
  <c r="EK46" i="5"/>
  <c r="EK32" i="5"/>
  <c r="EH43" i="5"/>
  <c r="EN44" i="5"/>
  <c r="DY41" i="5"/>
  <c r="EB46" i="5"/>
  <c r="EB41" i="5"/>
  <c r="DG56" i="5"/>
  <c r="DH56" i="5" s="1"/>
  <c r="DG57" i="5"/>
  <c r="DH57" i="5" s="1"/>
  <c r="DP56" i="5"/>
  <c r="DQ56" i="5" s="1"/>
  <c r="DP57" i="5"/>
  <c r="DQ57" i="5" s="1"/>
  <c r="CX41" i="5"/>
  <c r="DA46" i="5"/>
  <c r="CX57" i="5"/>
  <c r="CY57" i="5" s="1"/>
  <c r="CX56" i="5"/>
  <c r="CY56" i="5" s="1"/>
  <c r="EH57" i="5"/>
  <c r="EI57" i="5" s="1"/>
  <c r="EH56" i="5"/>
  <c r="EI56" i="5" s="1"/>
  <c r="DY56" i="5"/>
  <c r="DZ56" i="5" s="1"/>
  <c r="DY57" i="5"/>
  <c r="DZ57" i="5" s="1"/>
  <c r="CU44" i="5"/>
  <c r="CF52" i="5"/>
  <c r="CG52" i="5" s="1"/>
  <c r="CK46" i="5"/>
  <c r="BZ44" i="5"/>
  <c r="BW52" i="5"/>
  <c r="BX52" i="5" s="1"/>
  <c r="CB46" i="5"/>
  <c r="CI46" i="5"/>
  <c r="BW43" i="5"/>
  <c r="BZ32" i="5"/>
  <c r="CI40" i="5"/>
  <c r="CI44" i="5"/>
  <c r="CI32" i="5"/>
  <c r="CL44" i="5" s="1"/>
  <c r="CF43" i="5"/>
  <c r="BW41" i="5"/>
  <c r="BZ46" i="5"/>
  <c r="BW57" i="5"/>
  <c r="BX57" i="5" s="1"/>
  <c r="BW56" i="5"/>
  <c r="BX56" i="5" s="1"/>
  <c r="CF57" i="5"/>
  <c r="CG57" i="5" s="1"/>
  <c r="CF56" i="5"/>
  <c r="CR43" i="5"/>
  <c r="CW32" i="5"/>
  <c r="H9" i="6"/>
  <c r="F8" i="6"/>
  <c r="CJ6" i="6"/>
  <c r="CL6" i="6" s="1"/>
  <c r="BZ29" i="6"/>
  <c r="CF13" i="6"/>
  <c r="CX13" i="6"/>
  <c r="CF14" i="6"/>
  <c r="CX14" i="6"/>
  <c r="BC10" i="6"/>
  <c r="BG10" i="6"/>
  <c r="BH11" i="6"/>
  <c r="BI11" i="6" s="1"/>
  <c r="AX11" i="6"/>
  <c r="M7" i="6"/>
  <c r="N8" i="6"/>
  <c r="AK7" i="6"/>
  <c r="AM8" i="6"/>
  <c r="AG8" i="6"/>
  <c r="AE7" i="6"/>
  <c r="S10" i="6"/>
  <c r="AA10" i="6" s="1"/>
  <c r="AW7" i="6"/>
  <c r="W8" i="6"/>
  <c r="X9" i="6"/>
  <c r="AQ6" i="6"/>
  <c r="AS7" i="6"/>
  <c r="X21" i="12" l="1"/>
  <c r="Y25" i="12"/>
  <c r="H90" i="16"/>
  <c r="BE52" i="1"/>
  <c r="G106" i="15"/>
  <c r="Z139" i="15" s="1"/>
  <c r="H118" i="13"/>
  <c r="BN52" i="1"/>
  <c r="BF15" i="1"/>
  <c r="H119" i="13"/>
  <c r="BG8" i="1"/>
  <c r="BF52" i="1"/>
  <c r="BO8" i="1"/>
  <c r="H121" i="13"/>
  <c r="AT52" i="1"/>
  <c r="H102" i="15"/>
  <c r="H94" i="15"/>
  <c r="H117" i="13"/>
  <c r="H89" i="15"/>
  <c r="H90" i="15"/>
  <c r="BJ52" i="1"/>
  <c r="BM52" i="1"/>
  <c r="BB15" i="1"/>
  <c r="H92" i="15"/>
  <c r="X23" i="12"/>
  <c r="H92" i="16"/>
  <c r="H87" i="15"/>
  <c r="M27" i="13"/>
  <c r="DV44" i="5"/>
  <c r="BK8" i="1"/>
  <c r="H122" i="13"/>
  <c r="H94" i="16"/>
  <c r="H120" i="13"/>
  <c r="H98" i="16"/>
  <c r="H127" i="13"/>
  <c r="H98" i="15"/>
  <c r="BE15" i="1"/>
  <c r="AS52" i="1"/>
  <c r="G107" i="16"/>
  <c r="AA139" i="16" s="1"/>
  <c r="BJ15" i="1"/>
  <c r="BE61" i="1"/>
  <c r="I25" i="12"/>
  <c r="BA15" i="1"/>
  <c r="H93" i="15"/>
  <c r="BB52" i="1"/>
  <c r="H130" i="13"/>
  <c r="H126" i="13"/>
  <c r="H115" i="13"/>
  <c r="BI52" i="1"/>
  <c r="H91" i="15"/>
  <c r="BT9" i="6"/>
  <c r="I9" i="6"/>
  <c r="H98" i="13"/>
  <c r="L98" i="13" s="1"/>
  <c r="P98" i="13" s="1"/>
  <c r="H66" i="16"/>
  <c r="L66" i="16" s="1"/>
  <c r="P66" i="16" s="1"/>
  <c r="H66" i="15"/>
  <c r="L66" i="15" s="1"/>
  <c r="P66" i="15" s="1"/>
  <c r="H89" i="16"/>
  <c r="E107" i="16"/>
  <c r="U129" i="16" s="1"/>
  <c r="E96" i="13"/>
  <c r="I96" i="13" s="1"/>
  <c r="M96" i="13" s="1"/>
  <c r="E64" i="16"/>
  <c r="E64" i="15"/>
  <c r="E97" i="13"/>
  <c r="E65" i="16"/>
  <c r="I65" i="16" s="1"/>
  <c r="M65" i="16" s="1"/>
  <c r="E65" i="15"/>
  <c r="I65" i="15" s="1"/>
  <c r="M65" i="15" s="1"/>
  <c r="E99" i="13"/>
  <c r="E67" i="16"/>
  <c r="I67" i="16" s="1"/>
  <c r="M67" i="16" s="1"/>
  <c r="E67" i="15"/>
  <c r="H73" i="15"/>
  <c r="L73" i="15" s="1"/>
  <c r="P73" i="15" s="1"/>
  <c r="H73" i="16"/>
  <c r="H105" i="13"/>
  <c r="L105" i="13" s="1"/>
  <c r="P105" i="13" s="1"/>
  <c r="E74" i="15"/>
  <c r="E74" i="16"/>
  <c r="E106" i="13"/>
  <c r="I106" i="13" s="1"/>
  <c r="M106" i="13" s="1"/>
  <c r="J65" i="15"/>
  <c r="N65" i="15" s="1"/>
  <c r="F95" i="16"/>
  <c r="F123" i="13"/>
  <c r="F95" i="15"/>
  <c r="K68" i="16"/>
  <c r="K83" i="16" s="1"/>
  <c r="G83" i="16"/>
  <c r="AB138" i="16" s="1"/>
  <c r="O68" i="16"/>
  <c r="K64" i="16"/>
  <c r="G82" i="16"/>
  <c r="AA138" i="16" s="1"/>
  <c r="G85" i="16"/>
  <c r="G113" i="13"/>
  <c r="G85" i="15"/>
  <c r="BN15" i="1"/>
  <c r="J74" i="15"/>
  <c r="J82" i="15" s="1"/>
  <c r="F82" i="15"/>
  <c r="X133" i="15" s="1"/>
  <c r="H77" i="15"/>
  <c r="H77" i="16"/>
  <c r="H109" i="13"/>
  <c r="L109" i="13" s="1"/>
  <c r="P109" i="13" s="1"/>
  <c r="H103" i="15"/>
  <c r="H103" i="16"/>
  <c r="H78" i="15"/>
  <c r="H78" i="16"/>
  <c r="L78" i="16" s="1"/>
  <c r="P78" i="16" s="1"/>
  <c r="H110" i="13"/>
  <c r="L110" i="13" s="1"/>
  <c r="P110" i="13" s="1"/>
  <c r="AP54" i="1"/>
  <c r="M138" i="1"/>
  <c r="AT61" i="1"/>
  <c r="AT17" i="1"/>
  <c r="BJ61" i="1"/>
  <c r="BJ17" i="1"/>
  <c r="BJ24" i="1" s="1"/>
  <c r="BN61" i="1"/>
  <c r="BN17" i="1"/>
  <c r="M153" i="1"/>
  <c r="AQ45" i="1"/>
  <c r="J61" i="16"/>
  <c r="F100" i="13"/>
  <c r="J100" i="13" s="1"/>
  <c r="N100" i="13" s="1"/>
  <c r="F68" i="16"/>
  <c r="F68" i="15"/>
  <c r="J68" i="15" s="1"/>
  <c r="N68" i="15" s="1"/>
  <c r="K61" i="16"/>
  <c r="BA24" i="1"/>
  <c r="BI61" i="1"/>
  <c r="BI17" i="1"/>
  <c r="BI24" i="1" s="1"/>
  <c r="J75" i="16"/>
  <c r="N75" i="16" s="1"/>
  <c r="N82" i="16" s="1"/>
  <c r="L29" i="13"/>
  <c r="P29" i="13" s="1"/>
  <c r="L35" i="13"/>
  <c r="P35" i="13" s="1"/>
  <c r="P15" i="13"/>
  <c r="K29" i="13"/>
  <c r="O29" i="13" s="1"/>
  <c r="J29" i="13"/>
  <c r="N29" i="13" s="1"/>
  <c r="H7" i="16"/>
  <c r="L7" i="16" s="1"/>
  <c r="P7" i="16" s="1"/>
  <c r="H7" i="15"/>
  <c r="L7" i="15" s="1"/>
  <c r="P7" i="15" s="1"/>
  <c r="H91" i="16"/>
  <c r="H69" i="15"/>
  <c r="H69" i="16"/>
  <c r="L69" i="16" s="1"/>
  <c r="P69" i="16" s="1"/>
  <c r="H101" i="13"/>
  <c r="L101" i="13" s="1"/>
  <c r="P101" i="13" s="1"/>
  <c r="E93" i="13"/>
  <c r="I93" i="13" s="1"/>
  <c r="M93" i="13" s="1"/>
  <c r="E61" i="16"/>
  <c r="E61" i="15"/>
  <c r="I61" i="15" s="1"/>
  <c r="M61" i="15" s="1"/>
  <c r="K77" i="15"/>
  <c r="K81" i="15" s="1"/>
  <c r="G81" i="15"/>
  <c r="Z138" i="15" s="1"/>
  <c r="O77" i="15"/>
  <c r="O81" i="15" s="1"/>
  <c r="G107" i="15"/>
  <c r="AA139" i="15" s="1"/>
  <c r="AU54" i="1"/>
  <c r="AU61" i="1" s="1"/>
  <c r="BK54" i="1"/>
  <c r="BK61" i="1" s="1"/>
  <c r="BG54" i="1"/>
  <c r="BG61" i="1" s="1"/>
  <c r="AY54" i="1"/>
  <c r="AY61" i="1" s="1"/>
  <c r="BO54" i="1"/>
  <c r="BO61" i="1" s="1"/>
  <c r="BC54" i="1"/>
  <c r="BC61" i="1" s="1"/>
  <c r="S163" i="1"/>
  <c r="Q163" i="1"/>
  <c r="N163" i="1"/>
  <c r="P163" i="1"/>
  <c r="M156" i="1"/>
  <c r="O163" i="1"/>
  <c r="R163" i="1"/>
  <c r="J67" i="16"/>
  <c r="N67" i="16" s="1"/>
  <c r="BI15" i="1"/>
  <c r="M103" i="1"/>
  <c r="AO45" i="1"/>
  <c r="F95" i="13"/>
  <c r="J95" i="13" s="1"/>
  <c r="N95" i="13" s="1"/>
  <c r="F63" i="16"/>
  <c r="J63" i="16" s="1"/>
  <c r="N63" i="16" s="1"/>
  <c r="F63" i="15"/>
  <c r="E94" i="13"/>
  <c r="I94" i="13" s="1"/>
  <c r="M94" i="13" s="1"/>
  <c r="E62" i="16"/>
  <c r="E62" i="15"/>
  <c r="E85" i="16"/>
  <c r="E113" i="13"/>
  <c r="H113" i="13" s="1"/>
  <c r="BO5" i="1"/>
  <c r="E85" i="15"/>
  <c r="BL15" i="1"/>
  <c r="BG5" i="1"/>
  <c r="BD15" i="1"/>
  <c r="U23" i="14"/>
  <c r="AR15" i="1"/>
  <c r="AU5" i="1"/>
  <c r="E108" i="16"/>
  <c r="V129" i="16" s="1"/>
  <c r="H93" i="16"/>
  <c r="L27" i="13"/>
  <c r="P27" i="13" s="1"/>
  <c r="L33" i="13"/>
  <c r="P33" i="13" s="1"/>
  <c r="P13" i="13"/>
  <c r="J27" i="13"/>
  <c r="N27" i="13" s="1"/>
  <c r="K27" i="13"/>
  <c r="O27" i="13" s="1"/>
  <c r="AN54" i="1"/>
  <c r="M88" i="1"/>
  <c r="BD61" i="1"/>
  <c r="BD17" i="1"/>
  <c r="AZ61" i="1"/>
  <c r="AZ17" i="1"/>
  <c r="AZ24" i="1" s="1"/>
  <c r="J77" i="16"/>
  <c r="N77" i="16" s="1"/>
  <c r="N81" i="16" s="1"/>
  <c r="F107" i="15"/>
  <c r="X134" i="15" s="1"/>
  <c r="H100" i="15"/>
  <c r="H100" i="16"/>
  <c r="H75" i="15"/>
  <c r="L75" i="15" s="1"/>
  <c r="P75" i="15" s="1"/>
  <c r="H75" i="16"/>
  <c r="H107" i="13"/>
  <c r="L107" i="13" s="1"/>
  <c r="P107" i="13" s="1"/>
  <c r="H129" i="13"/>
  <c r="H101" i="16"/>
  <c r="H76" i="15"/>
  <c r="L76" i="15" s="1"/>
  <c r="P76" i="15" s="1"/>
  <c r="H76" i="16"/>
  <c r="L76" i="16" s="1"/>
  <c r="P76" i="16" s="1"/>
  <c r="H108" i="13"/>
  <c r="L108" i="13" s="1"/>
  <c r="P108" i="13" s="1"/>
  <c r="K78" i="16"/>
  <c r="O78" i="16" s="1"/>
  <c r="F107" i="16"/>
  <c r="X134" i="16" s="1"/>
  <c r="E95" i="13"/>
  <c r="E63" i="16"/>
  <c r="I63" i="16" s="1"/>
  <c r="M63" i="16" s="1"/>
  <c r="E63" i="15"/>
  <c r="I63" i="15" s="1"/>
  <c r="M63" i="15" s="1"/>
  <c r="G88" i="16"/>
  <c r="G106" i="16" s="1"/>
  <c r="Z139" i="16" s="1"/>
  <c r="G88" i="15"/>
  <c r="G116" i="13"/>
  <c r="G95" i="13"/>
  <c r="K95" i="13" s="1"/>
  <c r="O95" i="13" s="1"/>
  <c r="G63" i="16"/>
  <c r="K63" i="16" s="1"/>
  <c r="O63" i="16" s="1"/>
  <c r="G63" i="15"/>
  <c r="K63" i="15" s="1"/>
  <c r="O63" i="15" s="1"/>
  <c r="CU46" i="5"/>
  <c r="AC11" i="14"/>
  <c r="CG56" i="5"/>
  <c r="CP56" i="5"/>
  <c r="E98" i="13"/>
  <c r="I98" i="13" s="1"/>
  <c r="M98" i="13" s="1"/>
  <c r="E66" i="16"/>
  <c r="I66" i="16" s="1"/>
  <c r="M66" i="16" s="1"/>
  <c r="E66" i="15"/>
  <c r="I66" i="15" s="1"/>
  <c r="M66" i="15" s="1"/>
  <c r="H64" i="15"/>
  <c r="L64" i="15" s="1"/>
  <c r="P64" i="15" s="1"/>
  <c r="H64" i="16"/>
  <c r="H96" i="13"/>
  <c r="L96" i="13" s="1"/>
  <c r="P96" i="13" s="1"/>
  <c r="H65" i="15"/>
  <c r="L65" i="15" s="1"/>
  <c r="P65" i="15" s="1"/>
  <c r="H65" i="16"/>
  <c r="L65" i="16" s="1"/>
  <c r="P65" i="16" s="1"/>
  <c r="H97" i="13"/>
  <c r="L97" i="13" s="1"/>
  <c r="P97" i="13" s="1"/>
  <c r="H67" i="15"/>
  <c r="L67" i="15" s="1"/>
  <c r="P67" i="15" s="1"/>
  <c r="H67" i="16"/>
  <c r="L67" i="16" s="1"/>
  <c r="P67" i="16" s="1"/>
  <c r="H99" i="13"/>
  <c r="L99" i="13" s="1"/>
  <c r="P99" i="13" s="1"/>
  <c r="E105" i="13"/>
  <c r="I105" i="13" s="1"/>
  <c r="M105" i="13" s="1"/>
  <c r="E73" i="16"/>
  <c r="E73" i="15"/>
  <c r="H99" i="15"/>
  <c r="E107" i="15"/>
  <c r="U129" i="15" s="1"/>
  <c r="H74" i="15"/>
  <c r="H74" i="16"/>
  <c r="H106" i="13"/>
  <c r="L106" i="13" s="1"/>
  <c r="P106" i="13" s="1"/>
  <c r="K74" i="15"/>
  <c r="K82" i="15" s="1"/>
  <c r="G82" i="15"/>
  <c r="AA138" i="15" s="1"/>
  <c r="J65" i="16"/>
  <c r="N65" i="16" s="1"/>
  <c r="V23" i="14"/>
  <c r="AS15" i="1"/>
  <c r="V33" i="14" s="1"/>
  <c r="AZ15" i="1"/>
  <c r="BC15" i="1" s="1"/>
  <c r="BC5" i="1"/>
  <c r="BK5" i="1"/>
  <c r="BH15" i="1"/>
  <c r="AN5" i="1"/>
  <c r="AN52" i="1"/>
  <c r="I68" i="16"/>
  <c r="M68" i="16" s="1"/>
  <c r="K68" i="15"/>
  <c r="O68" i="15" s="1"/>
  <c r="H102" i="16"/>
  <c r="E109" i="13"/>
  <c r="I109" i="13" s="1"/>
  <c r="M109" i="13" s="1"/>
  <c r="E77" i="16"/>
  <c r="I77" i="16" s="1"/>
  <c r="M77" i="16" s="1"/>
  <c r="E77" i="15"/>
  <c r="H131" i="13"/>
  <c r="E78" i="15"/>
  <c r="I78" i="15" s="1"/>
  <c r="M78" i="15" s="1"/>
  <c r="E78" i="16"/>
  <c r="I78" i="16" s="1"/>
  <c r="M78" i="16" s="1"/>
  <c r="E110" i="13"/>
  <c r="I110" i="13" s="1"/>
  <c r="M110" i="13" s="1"/>
  <c r="BF61" i="1"/>
  <c r="BF17" i="1"/>
  <c r="BF24" i="1" s="1"/>
  <c r="BB61" i="1"/>
  <c r="BB17" i="1"/>
  <c r="F86" i="16"/>
  <c r="F114" i="13"/>
  <c r="H114" i="13" s="1"/>
  <c r="F86" i="15"/>
  <c r="H86" i="15" s="1"/>
  <c r="H68" i="15"/>
  <c r="H68" i="16"/>
  <c r="H100" i="13"/>
  <c r="L100" i="13" s="1"/>
  <c r="P100" i="13" s="1"/>
  <c r="J62" i="15"/>
  <c r="N62" i="15" s="1"/>
  <c r="J64" i="16"/>
  <c r="F82" i="16"/>
  <c r="X133" i="16" s="1"/>
  <c r="K66" i="16"/>
  <c r="O66" i="16" s="1"/>
  <c r="AO54" i="1"/>
  <c r="M113" i="1"/>
  <c r="AS61" i="1"/>
  <c r="AS17" i="1"/>
  <c r="BM61" i="1"/>
  <c r="BM17" i="1"/>
  <c r="BE24" i="1"/>
  <c r="L40" i="13"/>
  <c r="H40" i="13"/>
  <c r="E101" i="13"/>
  <c r="E69" i="16"/>
  <c r="I69" i="16" s="1"/>
  <c r="M69" i="16" s="1"/>
  <c r="E69" i="15"/>
  <c r="I69" i="15" s="1"/>
  <c r="M69" i="15" s="1"/>
  <c r="BO6" i="1"/>
  <c r="E106" i="16"/>
  <c r="T129" i="16" s="1"/>
  <c r="H86" i="16"/>
  <c r="H61" i="15"/>
  <c r="H61" i="16"/>
  <c r="H93" i="13"/>
  <c r="L93" i="13" s="1"/>
  <c r="P93" i="13" s="1"/>
  <c r="K75" i="16"/>
  <c r="O75" i="16" s="1"/>
  <c r="O82" i="16" s="1"/>
  <c r="K77" i="16"/>
  <c r="O77" i="16" s="1"/>
  <c r="H99" i="16"/>
  <c r="F88" i="16"/>
  <c r="H88" i="16" s="1"/>
  <c r="F116" i="13"/>
  <c r="F88" i="15"/>
  <c r="H87" i="16"/>
  <c r="H94" i="13"/>
  <c r="H62" i="16"/>
  <c r="L62" i="16" s="1"/>
  <c r="P62" i="16" s="1"/>
  <c r="H62" i="15"/>
  <c r="L62" i="15" s="1"/>
  <c r="P62" i="15" s="1"/>
  <c r="BK42" i="1"/>
  <c r="BK52" i="1" s="1"/>
  <c r="BG42" i="1"/>
  <c r="BG52" i="1" s="1"/>
  <c r="AY42" i="1"/>
  <c r="AY52" i="1" s="1"/>
  <c r="BO42" i="1"/>
  <c r="BO52" i="1" s="1"/>
  <c r="BC42" i="1"/>
  <c r="BC52" i="1" s="1"/>
  <c r="M143" i="1"/>
  <c r="AQ42" i="1" s="1"/>
  <c r="AU42" i="1"/>
  <c r="AU52" i="1" s="1"/>
  <c r="G20" i="14"/>
  <c r="F19" i="14"/>
  <c r="AR61" i="1"/>
  <c r="AR17" i="1"/>
  <c r="AV24" i="1"/>
  <c r="AY17" i="1"/>
  <c r="AY24" i="1" s="1"/>
  <c r="BH61" i="1"/>
  <c r="BH17" i="1"/>
  <c r="BL61" i="1"/>
  <c r="BL17" i="1"/>
  <c r="K65" i="15"/>
  <c r="O65" i="15" s="1"/>
  <c r="G108" i="16"/>
  <c r="AB139" i="16" s="1"/>
  <c r="AT15" i="1"/>
  <c r="W33" i="14" s="1"/>
  <c r="W23" i="14"/>
  <c r="J77" i="15"/>
  <c r="F81" i="15"/>
  <c r="W133" i="15" s="1"/>
  <c r="H128" i="13"/>
  <c r="E107" i="13"/>
  <c r="I107" i="13" s="1"/>
  <c r="M107" i="13" s="1"/>
  <c r="E75" i="16"/>
  <c r="I75" i="16" s="1"/>
  <c r="M75" i="16" s="1"/>
  <c r="E75" i="15"/>
  <c r="I75" i="15" s="1"/>
  <c r="M75" i="15" s="1"/>
  <c r="H101" i="15"/>
  <c r="E76" i="15"/>
  <c r="E76" i="16"/>
  <c r="I76" i="16" s="1"/>
  <c r="M76" i="16" s="1"/>
  <c r="E108" i="13"/>
  <c r="I108" i="13" s="1"/>
  <c r="M108" i="13" s="1"/>
  <c r="F108" i="16"/>
  <c r="Y134" i="16" s="1"/>
  <c r="AU8" i="1"/>
  <c r="X26" i="14" s="1"/>
  <c r="K62" i="15"/>
  <c r="O62" i="15" s="1"/>
  <c r="M128" i="1"/>
  <c r="AP45" i="1"/>
  <c r="H17" i="13"/>
  <c r="H30" i="13"/>
  <c r="H36" i="13"/>
  <c r="H18" i="13"/>
  <c r="F30" i="13"/>
  <c r="G30" i="13"/>
  <c r="E30" i="13"/>
  <c r="X25" i="12"/>
  <c r="X40" i="12"/>
  <c r="U42" i="12" s="1"/>
  <c r="AD42" i="12" s="1"/>
  <c r="U34" i="12"/>
  <c r="U37" i="12"/>
  <c r="EK41" i="5"/>
  <c r="X11" i="12"/>
  <c r="AA23" i="12" s="1"/>
  <c r="E8" i="15"/>
  <c r="H8" i="15"/>
  <c r="U22" i="12"/>
  <c r="AA16" i="12"/>
  <c r="H41" i="13" s="1"/>
  <c r="U61" i="12"/>
  <c r="U62" i="12" s="1"/>
  <c r="V62" i="12"/>
  <c r="W62" i="12"/>
  <c r="DF32" i="5"/>
  <c r="DD46" i="5" s="1"/>
  <c r="DA43" i="5"/>
  <c r="EB43" i="5"/>
  <c r="EG32" i="5"/>
  <c r="EE46" i="5" s="1"/>
  <c r="DA41" i="5"/>
  <c r="EK43" i="5"/>
  <c r="EP32" i="5"/>
  <c r="DX32" i="5"/>
  <c r="DV46" i="5" s="1"/>
  <c r="DS43" i="5"/>
  <c r="DJ43" i="5"/>
  <c r="DO32" i="5"/>
  <c r="DM46" i="5" s="1"/>
  <c r="DJ41" i="5"/>
  <c r="DD44" i="5"/>
  <c r="EE44" i="5"/>
  <c r="CI43" i="5"/>
  <c r="CN32" i="5"/>
  <c r="CL46" i="5" s="1"/>
  <c r="BZ43" i="5"/>
  <c r="CE32" i="5"/>
  <c r="CC46" i="5" s="1"/>
  <c r="CI41" i="5"/>
  <c r="BZ41" i="5"/>
  <c r="CC44" i="5"/>
  <c r="F7" i="6"/>
  <c r="H8" i="6"/>
  <c r="CJ7" i="6"/>
  <c r="CL7" i="6" s="1"/>
  <c r="BC9" i="6"/>
  <c r="BG9" i="6"/>
  <c r="N7" i="6"/>
  <c r="M6" i="6"/>
  <c r="BH10" i="6"/>
  <c r="BI10" i="6" s="1"/>
  <c r="AX10" i="6"/>
  <c r="W7" i="6"/>
  <c r="X8" i="6"/>
  <c r="AM7" i="6"/>
  <c r="AK6" i="6"/>
  <c r="AE6" i="6"/>
  <c r="AG7" i="6"/>
  <c r="AQ5" i="6"/>
  <c r="AS5" i="6" s="1"/>
  <c r="AS6" i="6"/>
  <c r="S9" i="6"/>
  <c r="AA9" i="6" s="1"/>
  <c r="AW6" i="6"/>
  <c r="H106" i="15" l="1"/>
  <c r="H88" i="15"/>
  <c r="BG15" i="1"/>
  <c r="X20" i="12"/>
  <c r="H116" i="13"/>
  <c r="AC144" i="16"/>
  <c r="AY129" i="16" s="1"/>
  <c r="H108" i="16"/>
  <c r="AF129" i="16" s="1"/>
  <c r="H85" i="15"/>
  <c r="O81" i="16"/>
  <c r="BK15" i="1"/>
  <c r="O74" i="15"/>
  <c r="O82" i="15" s="1"/>
  <c r="H85" i="16"/>
  <c r="N74" i="15"/>
  <c r="N82" i="15" s="1"/>
  <c r="BT8" i="6"/>
  <c r="I8" i="6"/>
  <c r="AP8" i="1"/>
  <c r="AP52" i="1"/>
  <c r="H63" i="15"/>
  <c r="H63" i="16"/>
  <c r="H81" i="16" s="1"/>
  <c r="H95" i="13"/>
  <c r="L95" i="13" s="1"/>
  <c r="P95" i="13" s="1"/>
  <c r="I76" i="15"/>
  <c r="M76" i="15" s="1"/>
  <c r="G60" i="15"/>
  <c r="K60" i="15" s="1"/>
  <c r="O60" i="15" s="1"/>
  <c r="G60" i="16"/>
  <c r="G92" i="13"/>
  <c r="K92" i="13" s="1"/>
  <c r="O92" i="13" s="1"/>
  <c r="L38" i="13"/>
  <c r="H38" i="13"/>
  <c r="L94" i="13"/>
  <c r="P94" i="13" s="1"/>
  <c r="L61" i="15"/>
  <c r="P61" i="15" s="1"/>
  <c r="I101" i="13"/>
  <c r="M101" i="13" s="1"/>
  <c r="F97" i="16"/>
  <c r="F97" i="15"/>
  <c r="F108" i="15" s="1"/>
  <c r="Y134" i="15" s="1"/>
  <c r="AD144" i="15" s="1"/>
  <c r="F125" i="13"/>
  <c r="BM24" i="1"/>
  <c r="AS24" i="1"/>
  <c r="V42" i="14" s="1"/>
  <c r="V35" i="14"/>
  <c r="L68" i="15"/>
  <c r="P68" i="15" s="1"/>
  <c r="M81" i="16"/>
  <c r="E83" i="16"/>
  <c r="V128" i="16" s="1"/>
  <c r="AN15" i="1"/>
  <c r="AQ5" i="1"/>
  <c r="F60" i="15"/>
  <c r="J60" i="15" s="1"/>
  <c r="N60" i="15" s="1"/>
  <c r="F60" i="16"/>
  <c r="J60" i="16" s="1"/>
  <c r="N60" i="16" s="1"/>
  <c r="F92" i="13"/>
  <c r="J92" i="13" s="1"/>
  <c r="N92" i="13" s="1"/>
  <c r="L74" i="15"/>
  <c r="H82" i="15"/>
  <c r="H107" i="15"/>
  <c r="I73" i="16"/>
  <c r="M73" i="16" s="1"/>
  <c r="AE144" i="16"/>
  <c r="BE139" i="16" s="1"/>
  <c r="L75" i="16"/>
  <c r="P75" i="16" s="1"/>
  <c r="BD24" i="1"/>
  <c r="BG17" i="1"/>
  <c r="BG24" i="1" s="1"/>
  <c r="AU15" i="1"/>
  <c r="X33" i="14" s="1"/>
  <c r="U33" i="14"/>
  <c r="E95" i="16"/>
  <c r="E95" i="15"/>
  <c r="BO15" i="1"/>
  <c r="E123" i="13"/>
  <c r="I62" i="16"/>
  <c r="M62" i="16" s="1"/>
  <c r="J63" i="15"/>
  <c r="N63" i="15" s="1"/>
  <c r="AQ54" i="1"/>
  <c r="AQ61" i="1" s="1"/>
  <c r="M163" i="1"/>
  <c r="I61" i="16"/>
  <c r="E81" i="16"/>
  <c r="T128" i="16" s="1"/>
  <c r="L69" i="15"/>
  <c r="P69" i="15" s="1"/>
  <c r="G81" i="16"/>
  <c r="Z138" i="16" s="1"/>
  <c r="N61" i="16"/>
  <c r="J81" i="16"/>
  <c r="G97" i="16"/>
  <c r="G97" i="15"/>
  <c r="G108" i="15" s="1"/>
  <c r="AB139" i="15" s="1"/>
  <c r="AE144" i="15" s="1"/>
  <c r="BN24" i="1"/>
  <c r="G125" i="13"/>
  <c r="AT24" i="1"/>
  <c r="W42" i="14" s="1"/>
  <c r="W35" i="14"/>
  <c r="L78" i="15"/>
  <c r="P78" i="15" s="1"/>
  <c r="L77" i="16"/>
  <c r="P77" i="16" s="1"/>
  <c r="P81" i="16" s="1"/>
  <c r="O64" i="16"/>
  <c r="K82" i="16"/>
  <c r="I74" i="16"/>
  <c r="M74" i="16" s="1"/>
  <c r="M82" i="16" s="1"/>
  <c r="I97" i="13"/>
  <c r="M97" i="13" s="1"/>
  <c r="I64" i="16"/>
  <c r="I82" i="16" s="1"/>
  <c r="E82" i="16"/>
  <c r="U128" i="16" s="1"/>
  <c r="M64" i="16"/>
  <c r="N77" i="15"/>
  <c r="N81" i="15" s="1"/>
  <c r="J81" i="15"/>
  <c r="G102" i="13"/>
  <c r="G70" i="16"/>
  <c r="G70" i="15"/>
  <c r="E97" i="16"/>
  <c r="E125" i="13"/>
  <c r="BO17" i="1"/>
  <c r="BO24" i="1" s="1"/>
  <c r="E97" i="15"/>
  <c r="BL24" i="1"/>
  <c r="BK17" i="1"/>
  <c r="BK24" i="1" s="1"/>
  <c r="BH24" i="1"/>
  <c r="AU17" i="1"/>
  <c r="U35" i="14"/>
  <c r="AR24" i="1"/>
  <c r="U42" i="14" s="1"/>
  <c r="H5" i="16"/>
  <c r="L5" i="16" s="1"/>
  <c r="P5" i="16" s="1"/>
  <c r="H5" i="15"/>
  <c r="L5" i="15" s="1"/>
  <c r="P5" i="15" s="1"/>
  <c r="L61" i="16"/>
  <c r="H106" i="16"/>
  <c r="AO17" i="1"/>
  <c r="AO24" i="1" s="1"/>
  <c r="AO61" i="1"/>
  <c r="N64" i="16"/>
  <c r="J82" i="16"/>
  <c r="L68" i="16"/>
  <c r="H83" i="16"/>
  <c r="F106" i="16"/>
  <c r="W134" i="16" s="1"/>
  <c r="AD144" i="16" s="1"/>
  <c r="BD134" i="16" s="1"/>
  <c r="BC17" i="1"/>
  <c r="BC24" i="1" s="1"/>
  <c r="BB24" i="1"/>
  <c r="I77" i="15"/>
  <c r="E81" i="15"/>
  <c r="T128" i="15" s="1"/>
  <c r="I83" i="16"/>
  <c r="F102" i="13"/>
  <c r="F70" i="16"/>
  <c r="J70" i="16" s="1"/>
  <c r="N70" i="16" s="1"/>
  <c r="F70" i="15"/>
  <c r="L74" i="16"/>
  <c r="P74" i="16" s="1"/>
  <c r="I73" i="15"/>
  <c r="M73" i="15" s="1"/>
  <c r="L64" i="16"/>
  <c r="H82" i="16"/>
  <c r="I95" i="13"/>
  <c r="M95" i="13" s="1"/>
  <c r="AN17" i="1"/>
  <c r="AN26" i="1" s="1"/>
  <c r="AN61" i="1"/>
  <c r="AU26" i="1"/>
  <c r="X23" i="14"/>
  <c r="E60" i="15"/>
  <c r="E60" i="16"/>
  <c r="I60" i="16" s="1"/>
  <c r="M60" i="16" s="1"/>
  <c r="E92" i="13"/>
  <c r="I92" i="13" s="1"/>
  <c r="M92" i="13" s="1"/>
  <c r="I62" i="15"/>
  <c r="M62" i="15" s="1"/>
  <c r="AO8" i="1"/>
  <c r="AO52" i="1"/>
  <c r="O61" i="16"/>
  <c r="K81" i="16"/>
  <c r="J68" i="16"/>
  <c r="J83" i="16" s="1"/>
  <c r="F83" i="16"/>
  <c r="Y133" i="16" s="1"/>
  <c r="N68" i="16"/>
  <c r="F81" i="16"/>
  <c r="W133" i="16" s="1"/>
  <c r="AQ52" i="1"/>
  <c r="AP17" i="1"/>
  <c r="AP24" i="1" s="1"/>
  <c r="AP61" i="1"/>
  <c r="L77" i="15"/>
  <c r="H81" i="15"/>
  <c r="P77" i="15"/>
  <c r="G95" i="16"/>
  <c r="G123" i="13"/>
  <c r="G95" i="15"/>
  <c r="U143" i="13"/>
  <c r="F48" i="13"/>
  <c r="I74" i="15"/>
  <c r="E82" i="15"/>
  <c r="U128" i="15" s="1"/>
  <c r="L73" i="16"/>
  <c r="P73" i="16" s="1"/>
  <c r="I67" i="15"/>
  <c r="M67" i="15" s="1"/>
  <c r="I99" i="13"/>
  <c r="M99" i="13" s="1"/>
  <c r="I64" i="15"/>
  <c r="M64" i="15" s="1"/>
  <c r="H107" i="16"/>
  <c r="H42" i="13"/>
  <c r="X42" i="12"/>
  <c r="AG40" i="12"/>
  <c r="V42" i="12"/>
  <c r="AE42" i="12" s="1"/>
  <c r="W42" i="12"/>
  <c r="AF42" i="12" s="1"/>
  <c r="EN46" i="5"/>
  <c r="AC11" i="12"/>
  <c r="AA25" i="12" s="1"/>
  <c r="X22" i="12"/>
  <c r="AS63" i="6" a="1"/>
  <c r="AS69" i="6" s="1"/>
  <c r="H7" i="6"/>
  <c r="F6" i="6"/>
  <c r="BT34" i="6"/>
  <c r="H34" i="6" s="1"/>
  <c r="BT33" i="6"/>
  <c r="H33" i="6" s="1"/>
  <c r="BT35" i="6"/>
  <c r="H35" i="6" s="1"/>
  <c r="BT32" i="6"/>
  <c r="H32" i="6" s="1"/>
  <c r="CX6" i="6"/>
  <c r="CF6" i="6"/>
  <c r="CJ8" i="6"/>
  <c r="CL8" i="6" s="1"/>
  <c r="M5" i="6"/>
  <c r="N5" i="6" s="1"/>
  <c r="N6" i="6"/>
  <c r="BH9" i="6"/>
  <c r="BI9" i="6" s="1"/>
  <c r="AX9" i="6"/>
  <c r="BC8" i="6"/>
  <c r="BG8" i="6"/>
  <c r="W6" i="6"/>
  <c r="X7" i="6"/>
  <c r="AK5" i="6"/>
  <c r="AM5" i="6" s="1"/>
  <c r="AM6" i="6"/>
  <c r="AG6" i="6"/>
  <c r="AE5" i="6"/>
  <c r="AG5" i="6" s="1"/>
  <c r="AW5" i="6"/>
  <c r="S8" i="6"/>
  <c r="AA8" i="6" s="1"/>
  <c r="BH129" i="16" l="1"/>
  <c r="AZ129" i="16"/>
  <c r="BA129" i="16"/>
  <c r="L81" i="15"/>
  <c r="H97" i="16"/>
  <c r="BG26" i="1"/>
  <c r="P82" i="16"/>
  <c r="BC26" i="1"/>
  <c r="H125" i="13"/>
  <c r="BT7" i="6"/>
  <c r="I7" i="6"/>
  <c r="M74" i="15"/>
  <c r="M82" i="15" s="1"/>
  <c r="I82" i="15"/>
  <c r="H60" i="15"/>
  <c r="H60" i="16"/>
  <c r="L60" i="16" s="1"/>
  <c r="P60" i="16" s="1"/>
  <c r="H92" i="13"/>
  <c r="L92" i="13" s="1"/>
  <c r="P92" i="13" s="1"/>
  <c r="BC134" i="16"/>
  <c r="P64" i="16"/>
  <c r="L82" i="16"/>
  <c r="J70" i="15"/>
  <c r="N70" i="15" s="1"/>
  <c r="F47" i="13"/>
  <c r="U142" i="13"/>
  <c r="J102" i="13"/>
  <c r="J47" i="13" s="1"/>
  <c r="M77" i="15"/>
  <c r="M81" i="15" s="1"/>
  <c r="I81" i="15"/>
  <c r="P61" i="16"/>
  <c r="E72" i="15"/>
  <c r="E72" i="16"/>
  <c r="E104" i="13"/>
  <c r="I104" i="13" s="1"/>
  <c r="M104" i="13" s="1"/>
  <c r="E104" i="16"/>
  <c r="E104" i="15"/>
  <c r="E132" i="13"/>
  <c r="K70" i="16"/>
  <c r="O70" i="16" s="1"/>
  <c r="G104" i="13"/>
  <c r="K104" i="13" s="1"/>
  <c r="O104" i="13" s="1"/>
  <c r="G72" i="16"/>
  <c r="G72" i="15"/>
  <c r="BG139" i="15"/>
  <c r="AE143" i="16"/>
  <c r="M61" i="16"/>
  <c r="I81" i="16"/>
  <c r="T138" i="13"/>
  <c r="H123" i="13"/>
  <c r="E48" i="13"/>
  <c r="H95" i="15"/>
  <c r="E102" i="13"/>
  <c r="E70" i="16"/>
  <c r="E70" i="15"/>
  <c r="BB134" i="15"/>
  <c r="BC134" i="15"/>
  <c r="BI134" i="15"/>
  <c r="BF139" i="16"/>
  <c r="BJ139" i="16"/>
  <c r="F111" i="13"/>
  <c r="J111" i="13" s="1"/>
  <c r="N111" i="13" s="1"/>
  <c r="F79" i="16"/>
  <c r="J79" i="16" s="1"/>
  <c r="N79" i="16" s="1"/>
  <c r="F79" i="15"/>
  <c r="L63" i="16"/>
  <c r="L81" i="16" s="1"/>
  <c r="G48" i="13"/>
  <c r="V148" i="13"/>
  <c r="P81" i="15"/>
  <c r="AD143" i="16"/>
  <c r="BD133" i="16" s="1"/>
  <c r="BE139" i="15"/>
  <c r="BJ139" i="15"/>
  <c r="BF139" i="15"/>
  <c r="AQ8" i="1"/>
  <c r="AO15" i="1"/>
  <c r="AO26" i="1"/>
  <c r="I60" i="15"/>
  <c r="M60" i="15" s="1"/>
  <c r="AN24" i="1"/>
  <c r="AQ17" i="1"/>
  <c r="AQ24" i="1" s="1"/>
  <c r="BB134" i="16"/>
  <c r="BI134" i="16"/>
  <c r="P68" i="16"/>
  <c r="L83" i="16"/>
  <c r="E111" i="13"/>
  <c r="I111" i="13" s="1"/>
  <c r="M111" i="13" s="1"/>
  <c r="E79" i="16"/>
  <c r="I79" i="16" s="1"/>
  <c r="M79" i="16" s="1"/>
  <c r="E79" i="15"/>
  <c r="X35" i="14"/>
  <c r="AU24" i="1"/>
  <c r="X42" i="14" s="1"/>
  <c r="H97" i="15"/>
  <c r="H108" i="15" s="1"/>
  <c r="E108" i="15"/>
  <c r="V129" i="15" s="1"/>
  <c r="K70" i="15"/>
  <c r="O70" i="15" s="1"/>
  <c r="G47" i="13"/>
  <c r="V147" i="13"/>
  <c r="K102" i="13"/>
  <c r="K47" i="13" s="1"/>
  <c r="O47" i="13" s="1"/>
  <c r="G79" i="15"/>
  <c r="G79" i="16"/>
  <c r="K79" i="16" s="1"/>
  <c r="O79" i="16" s="1"/>
  <c r="G111" i="13"/>
  <c r="K111" i="13" s="1"/>
  <c r="O111" i="13" s="1"/>
  <c r="G104" i="16"/>
  <c r="G104" i="15"/>
  <c r="G132" i="13"/>
  <c r="AC143" i="16"/>
  <c r="BH128" i="16" s="1"/>
  <c r="BO26" i="1"/>
  <c r="H95" i="16"/>
  <c r="H102" i="13"/>
  <c r="H70" i="16"/>
  <c r="L70" i="16" s="1"/>
  <c r="P70" i="16" s="1"/>
  <c r="H70" i="15"/>
  <c r="L70" i="15" s="1"/>
  <c r="P70" i="15" s="1"/>
  <c r="P74" i="15"/>
  <c r="P82" i="15" s="1"/>
  <c r="L82" i="15"/>
  <c r="BK26" i="1"/>
  <c r="AF128" i="16"/>
  <c r="F72" i="15"/>
  <c r="F72" i="16"/>
  <c r="F104" i="13"/>
  <c r="J104" i="13" s="1"/>
  <c r="N104" i="13" s="1"/>
  <c r="F104" i="16"/>
  <c r="F132" i="13"/>
  <c r="F104" i="15"/>
  <c r="BD134" i="15"/>
  <c r="BG139" i="16"/>
  <c r="K60" i="16"/>
  <c r="O60" i="16" s="1"/>
  <c r="L63" i="15"/>
  <c r="P63" i="15" s="1"/>
  <c r="AP26" i="1"/>
  <c r="AP15" i="1"/>
  <c r="AD40" i="12"/>
  <c r="AF40" i="12"/>
  <c r="AE40" i="12"/>
  <c r="C32" i="6"/>
  <c r="BS32" i="6" s="1"/>
  <c r="I32" i="6"/>
  <c r="DG49" i="5"/>
  <c r="DH49" i="5" s="1"/>
  <c r="C33" i="6"/>
  <c r="BS33" i="6" s="1"/>
  <c r="I33" i="6"/>
  <c r="DP49" i="5"/>
  <c r="DQ49" i="5" s="1"/>
  <c r="I35" i="6"/>
  <c r="I37" i="6" s="1"/>
  <c r="EH49" i="5"/>
  <c r="EI49" i="5" s="1"/>
  <c r="C34" i="6"/>
  <c r="BS34" i="6" s="1"/>
  <c r="I34" i="6"/>
  <c r="DY49" i="5"/>
  <c r="DZ49" i="5" s="1"/>
  <c r="AS63" i="6"/>
  <c r="AM63" i="6" a="1"/>
  <c r="AM69" i="6" s="1"/>
  <c r="H6" i="6"/>
  <c r="F5" i="6"/>
  <c r="H5" i="6" s="1"/>
  <c r="F63" i="6" a="1"/>
  <c r="F63" i="6" s="1"/>
  <c r="N63" i="6" a="1"/>
  <c r="N69" i="6" s="1"/>
  <c r="C35" i="6"/>
  <c r="BS35" i="6" s="1"/>
  <c r="CF7" i="6"/>
  <c r="CX7" i="6"/>
  <c r="CJ9" i="6"/>
  <c r="CL9" i="6" s="1"/>
  <c r="BC7" i="6"/>
  <c r="BG7" i="6"/>
  <c r="BH8" i="6"/>
  <c r="BI8" i="6" s="1"/>
  <c r="AX8" i="6"/>
  <c r="AG63" i="6" a="1"/>
  <c r="W5" i="6"/>
  <c r="X5" i="6" s="1"/>
  <c r="X63" i="6" s="1" a="1"/>
  <c r="X63" i="6" s="1"/>
  <c r="X6" i="6"/>
  <c r="S7" i="6"/>
  <c r="AA7" i="6" s="1"/>
  <c r="N47" i="13" l="1"/>
  <c r="BA128" i="16"/>
  <c r="AQ26" i="1"/>
  <c r="O102" i="13"/>
  <c r="AQ15" i="1"/>
  <c r="BT5" i="6"/>
  <c r="I5" i="6"/>
  <c r="J72" i="16"/>
  <c r="N72" i="16" s="1"/>
  <c r="N83" i="16" s="1"/>
  <c r="H47" i="13"/>
  <c r="L102" i="13"/>
  <c r="L47" i="13" s="1"/>
  <c r="W152" i="13"/>
  <c r="AL137" i="13" s="1"/>
  <c r="P102" i="13"/>
  <c r="K79" i="15"/>
  <c r="O79" i="15" s="1"/>
  <c r="AF129" i="15"/>
  <c r="AC144" i="15"/>
  <c r="H79" i="15"/>
  <c r="L79" i="15" s="1"/>
  <c r="P79" i="15" s="1"/>
  <c r="H79" i="16"/>
  <c r="L79" i="16" s="1"/>
  <c r="P79" i="16" s="1"/>
  <c r="H111" i="13"/>
  <c r="L111" i="13" s="1"/>
  <c r="P111" i="13" s="1"/>
  <c r="I79" i="15"/>
  <c r="M79" i="15" s="1"/>
  <c r="BC133" i="16"/>
  <c r="BI133" i="16"/>
  <c r="I70" i="15"/>
  <c r="M70" i="15" s="1"/>
  <c r="E47" i="13"/>
  <c r="T137" i="13"/>
  <c r="I102" i="13"/>
  <c r="I47" i="13" s="1"/>
  <c r="M47" i="13" s="1"/>
  <c r="BG138" i="16"/>
  <c r="BJ138" i="16"/>
  <c r="BF138" i="16"/>
  <c r="K72" i="15"/>
  <c r="G83" i="15"/>
  <c r="AB138" i="15" s="1"/>
  <c r="AE143" i="15" s="1"/>
  <c r="H104" i="15"/>
  <c r="I72" i="15"/>
  <c r="E83" i="15"/>
  <c r="V128" i="15" s="1"/>
  <c r="BT6" i="6"/>
  <c r="I6" i="6"/>
  <c r="J72" i="15"/>
  <c r="J83" i="15" s="1"/>
  <c r="F83" i="15"/>
  <c r="Y133" i="15" s="1"/>
  <c r="AD143" i="15" s="1"/>
  <c r="AY128" i="16"/>
  <c r="AZ128" i="16"/>
  <c r="H72" i="15"/>
  <c r="H72" i="16"/>
  <c r="H104" i="13"/>
  <c r="L104" i="13" s="1"/>
  <c r="P104" i="13" s="1"/>
  <c r="BB133" i="16"/>
  <c r="P63" i="16"/>
  <c r="J79" i="15"/>
  <c r="N79" i="15" s="1"/>
  <c r="I70" i="16"/>
  <c r="M70" i="16" s="1"/>
  <c r="H48" i="13"/>
  <c r="W153" i="13"/>
  <c r="BE138" i="16"/>
  <c r="K72" i="16"/>
  <c r="O72" i="16" s="1"/>
  <c r="O83" i="16" s="1"/>
  <c r="H132" i="13"/>
  <c r="H104" i="16"/>
  <c r="I72" i="16"/>
  <c r="M72" i="16" s="1"/>
  <c r="M83" i="16" s="1"/>
  <c r="N102" i="13"/>
  <c r="L60" i="15"/>
  <c r="P60" i="15" s="1"/>
  <c r="AE16" i="12"/>
  <c r="AE37" i="12"/>
  <c r="AE10" i="12" s="1"/>
  <c r="AE10" i="14" s="1"/>
  <c r="AE34" i="12"/>
  <c r="AF34" i="12"/>
  <c r="AF16" i="12"/>
  <c r="AF37" i="12"/>
  <c r="AF10" i="12" s="1"/>
  <c r="AF10" i="14" s="1"/>
  <c r="AD34" i="12"/>
  <c r="AD16" i="12"/>
  <c r="AD37" i="12"/>
  <c r="AM63" i="6"/>
  <c r="BT63" i="6" a="1"/>
  <c r="N63" i="6"/>
  <c r="CX8" i="6"/>
  <c r="CF8" i="6"/>
  <c r="CJ25" i="6" a="1"/>
  <c r="BC5" i="6"/>
  <c r="AX5" i="6" s="1"/>
  <c r="BG5" i="6"/>
  <c r="BH7" i="6"/>
  <c r="BI7" i="6" s="1"/>
  <c r="AX7" i="6"/>
  <c r="BC6" i="6"/>
  <c r="BG6" i="6"/>
  <c r="S6" i="6"/>
  <c r="AA6" i="6" s="1"/>
  <c r="AG69" i="6"/>
  <c r="AG63" i="6"/>
  <c r="S5" i="6"/>
  <c r="AA5" i="6" s="1"/>
  <c r="AJ137" i="13" l="1"/>
  <c r="M102" i="13"/>
  <c r="AI137" i="13"/>
  <c r="AK137" i="13"/>
  <c r="AL138" i="13"/>
  <c r="AJ138" i="13"/>
  <c r="L72" i="15"/>
  <c r="L83" i="15" s="1"/>
  <c r="H83" i="15"/>
  <c r="AF128" i="15" s="1"/>
  <c r="P72" i="15"/>
  <c r="P83" i="15" s="1"/>
  <c r="N72" i="15"/>
  <c r="N83" i="15" s="1"/>
  <c r="AC143" i="15"/>
  <c r="O72" i="15"/>
  <c r="O83" i="15" s="1"/>
  <c r="K83" i="15"/>
  <c r="AI138" i="13"/>
  <c r="P47" i="13"/>
  <c r="L72" i="16"/>
  <c r="P72" i="16" s="1"/>
  <c r="P83" i="16" s="1"/>
  <c r="BD133" i="15"/>
  <c r="BI133" i="15"/>
  <c r="BB133" i="15"/>
  <c r="BC133" i="15"/>
  <c r="M72" i="15"/>
  <c r="M83" i="15" s="1"/>
  <c r="I83" i="15"/>
  <c r="BG138" i="15"/>
  <c r="BJ138" i="15"/>
  <c r="BF138" i="15"/>
  <c r="BE138" i="15"/>
  <c r="AK138" i="13"/>
  <c r="BA129" i="15"/>
  <c r="AY129" i="15"/>
  <c r="BH129" i="15"/>
  <c r="AZ129" i="15"/>
  <c r="AD16" i="14"/>
  <c r="I16" i="13" s="1"/>
  <c r="AG16" i="12"/>
  <c r="AD15" i="12"/>
  <c r="AD13" i="12"/>
  <c r="AD14" i="12"/>
  <c r="AD12" i="12"/>
  <c r="AD9" i="12"/>
  <c r="AD44" i="12"/>
  <c r="AG34" i="12"/>
  <c r="AF16" i="14"/>
  <c r="K16" i="13" s="1"/>
  <c r="AF12" i="12"/>
  <c r="AF13" i="12"/>
  <c r="AF13" i="14" s="1"/>
  <c r="AF15" i="12"/>
  <c r="AF15" i="14" s="1"/>
  <c r="AF14" i="12"/>
  <c r="AF14" i="14" s="1"/>
  <c r="AF9" i="12"/>
  <c r="AF9" i="14" s="1"/>
  <c r="AF44" i="12"/>
  <c r="AE9" i="12"/>
  <c r="AE9" i="14" s="1"/>
  <c r="AE44" i="12"/>
  <c r="AD10" i="12"/>
  <c r="AG37" i="12"/>
  <c r="AE16" i="14"/>
  <c r="J16" i="13" s="1"/>
  <c r="AE15" i="12"/>
  <c r="AE15" i="14" s="1"/>
  <c r="AE12" i="12"/>
  <c r="AE13" i="12"/>
  <c r="AE13" i="14" s="1"/>
  <c r="AE14" i="12"/>
  <c r="AE14" i="14" s="1"/>
  <c r="CL26" i="6"/>
  <c r="CL28" i="6"/>
  <c r="CL30" i="6"/>
  <c r="CL32" i="6"/>
  <c r="CL34" i="6"/>
  <c r="CL27" i="6"/>
  <c r="CL29" i="6"/>
  <c r="CL31" i="6"/>
  <c r="CL33" i="6"/>
  <c r="CL35" i="6"/>
  <c r="CL37" i="6" s="1"/>
  <c r="BT69" i="6"/>
  <c r="BT63" i="6"/>
  <c r="BT31" i="6" s="1"/>
  <c r="H31" i="6" s="1"/>
  <c r="BH5" i="6"/>
  <c r="BI5" i="6" s="1"/>
  <c r="CX9" i="6"/>
  <c r="CF9" i="6"/>
  <c r="CJ25" i="6"/>
  <c r="CL25" i="6" s="1"/>
  <c r="BH6" i="6"/>
  <c r="BI6" i="6" s="1"/>
  <c r="AX6" i="6"/>
  <c r="X69" i="6"/>
  <c r="BA128" i="15" l="1"/>
  <c r="BH128" i="15"/>
  <c r="AY128" i="15"/>
  <c r="AZ128" i="15"/>
  <c r="O16" i="13"/>
  <c r="K17" i="13"/>
  <c r="K18" i="13"/>
  <c r="O18" i="13" s="1"/>
  <c r="J18" i="13"/>
  <c r="N18" i="13" s="1"/>
  <c r="N16" i="13"/>
  <c r="J17" i="13"/>
  <c r="I18" i="13"/>
  <c r="M18" i="13" s="1"/>
  <c r="M16" i="13"/>
  <c r="I17" i="13"/>
  <c r="AD12" i="14"/>
  <c r="AG12" i="12"/>
  <c r="AD21" i="12"/>
  <c r="AD10" i="14"/>
  <c r="AG10" i="12"/>
  <c r="AI23" i="12" s="1"/>
  <c r="AD9" i="14"/>
  <c r="AG9" i="12"/>
  <c r="AF12" i="14"/>
  <c r="AF21" i="12"/>
  <c r="AD15" i="14"/>
  <c r="AG15" i="12"/>
  <c r="AG15" i="14" s="1"/>
  <c r="AD13" i="14"/>
  <c r="AG13" i="12"/>
  <c r="AG13" i="14" s="1"/>
  <c r="AE12" i="14"/>
  <c r="AE21" i="12"/>
  <c r="AG16" i="14"/>
  <c r="L16" i="13" s="1"/>
  <c r="I30" i="13" s="1"/>
  <c r="M30" i="13" s="1"/>
  <c r="AD14" i="14"/>
  <c r="AG14" i="12"/>
  <c r="AG14" i="14" s="1"/>
  <c r="AD17" i="12" a="1"/>
  <c r="C31" i="6"/>
  <c r="BS31" i="6" s="1"/>
  <c r="I31" i="6"/>
  <c r="CX49" i="5"/>
  <c r="CY49" i="5" s="1"/>
  <c r="CF35" i="6"/>
  <c r="CF37" i="6" s="1"/>
  <c r="CX35" i="6"/>
  <c r="CX26" i="6"/>
  <c r="CF26" i="6"/>
  <c r="CX30" i="6"/>
  <c r="CF30" i="6"/>
  <c r="CF32" i="6"/>
  <c r="CX32" i="6"/>
  <c r="CF27" i="6"/>
  <c r="CX27" i="6"/>
  <c r="CF25" i="6"/>
  <c r="CX25" i="6"/>
  <c r="CF33" i="6"/>
  <c r="CX33" i="6"/>
  <c r="CX29" i="6"/>
  <c r="CF29" i="6"/>
  <c r="CF34" i="6"/>
  <c r="CX34" i="6"/>
  <c r="CX28" i="6"/>
  <c r="CF28" i="6"/>
  <c r="CX31" i="6"/>
  <c r="CF31" i="6"/>
  <c r="L3" i="5"/>
  <c r="L24" i="5" s="1"/>
  <c r="O4" i="5"/>
  <c r="P4" i="5"/>
  <c r="Q4" i="5"/>
  <c r="R4" i="5"/>
  <c r="S4" i="5"/>
  <c r="T4" i="5"/>
  <c r="L2" i="5"/>
  <c r="E4" i="5"/>
  <c r="D4" i="5"/>
  <c r="C4" i="5"/>
  <c r="CX37" i="6" l="1"/>
  <c r="L30" i="13"/>
  <c r="P30" i="13" s="1"/>
  <c r="K30" i="13"/>
  <c r="O30" i="13" s="1"/>
  <c r="L17" i="13"/>
  <c r="L18" i="13"/>
  <c r="P18" i="13" s="1"/>
  <c r="P16" i="13"/>
  <c r="J30" i="13"/>
  <c r="N30" i="13" s="1"/>
  <c r="AE17" i="14"/>
  <c r="J8" i="13" s="1"/>
  <c r="AF17" i="14"/>
  <c r="K8" i="13" s="1"/>
  <c r="AD17" i="12"/>
  <c r="AF65" i="12"/>
  <c r="AE65" i="12"/>
  <c r="AG9" i="14"/>
  <c r="AG12" i="14"/>
  <c r="AG21" i="12"/>
  <c r="AG10" i="14"/>
  <c r="AH23" i="12"/>
  <c r="AC4" i="5"/>
  <c r="T25" i="5"/>
  <c r="AA4" i="5"/>
  <c r="R25" i="5"/>
  <c r="Y4" i="5"/>
  <c r="P25" i="5"/>
  <c r="U2" i="5"/>
  <c r="L23" i="5"/>
  <c r="AB4" i="5"/>
  <c r="S25" i="5"/>
  <c r="Z4" i="5"/>
  <c r="Q25" i="5"/>
  <c r="X4" i="5"/>
  <c r="O25" i="5"/>
  <c r="U3" i="5"/>
  <c r="L4" i="5"/>
  <c r="C25" i="5"/>
  <c r="N4" i="5"/>
  <c r="E25" i="5"/>
  <c r="M4" i="5"/>
  <c r="D25" i="5"/>
  <c r="AE26" i="14" l="1"/>
  <c r="J88" i="16" s="1"/>
  <c r="N88" i="16" s="1"/>
  <c r="AE30" i="14"/>
  <c r="J92" i="16" s="1"/>
  <c r="N92" i="16" s="1"/>
  <c r="AE35" i="14"/>
  <c r="J97" i="16" s="1"/>
  <c r="N97" i="16" s="1"/>
  <c r="AE39" i="14"/>
  <c r="J101" i="16" s="1"/>
  <c r="N101" i="16" s="1"/>
  <c r="AE23" i="14"/>
  <c r="J85" i="16" s="1"/>
  <c r="N85" i="16" s="1"/>
  <c r="AE27" i="14"/>
  <c r="J89" i="16" s="1"/>
  <c r="AE31" i="14"/>
  <c r="J93" i="16" s="1"/>
  <c r="AE36" i="14"/>
  <c r="J98" i="16" s="1"/>
  <c r="N98" i="16" s="1"/>
  <c r="AE40" i="14"/>
  <c r="J102" i="16" s="1"/>
  <c r="N102" i="16" s="1"/>
  <c r="AE28" i="14"/>
  <c r="J90" i="16" s="1"/>
  <c r="N90" i="16" s="1"/>
  <c r="AE32" i="14"/>
  <c r="J94" i="16" s="1"/>
  <c r="N94" i="16" s="1"/>
  <c r="AE37" i="14"/>
  <c r="J99" i="16" s="1"/>
  <c r="N99" i="16" s="1"/>
  <c r="AE41" i="14"/>
  <c r="J103" i="16" s="1"/>
  <c r="N103" i="16" s="1"/>
  <c r="AE29" i="14"/>
  <c r="J91" i="16" s="1"/>
  <c r="N91" i="16" s="1"/>
  <c r="AE33" i="14"/>
  <c r="J95" i="16" s="1"/>
  <c r="N95" i="16" s="1"/>
  <c r="AE38" i="14"/>
  <c r="J100" i="16" s="1"/>
  <c r="N100" i="16" s="1"/>
  <c r="AE42" i="14"/>
  <c r="J104" i="16" s="1"/>
  <c r="N104" i="16" s="1"/>
  <c r="AE24" i="14"/>
  <c r="J86" i="16" s="1"/>
  <c r="AE25" i="14"/>
  <c r="J87" i="16" s="1"/>
  <c r="N87" i="16" s="1"/>
  <c r="AF26" i="14"/>
  <c r="K88" i="16" s="1"/>
  <c r="O88" i="16" s="1"/>
  <c r="AF35" i="14"/>
  <c r="K97" i="16" s="1"/>
  <c r="O97" i="16" s="1"/>
  <c r="AF27" i="14"/>
  <c r="K89" i="16" s="1"/>
  <c r="AF31" i="14"/>
  <c r="K93" i="16" s="1"/>
  <c r="AF36" i="14"/>
  <c r="K98" i="16" s="1"/>
  <c r="O98" i="16" s="1"/>
  <c r="AF40" i="14"/>
  <c r="K102" i="16" s="1"/>
  <c r="O102" i="16" s="1"/>
  <c r="AF29" i="14"/>
  <c r="K91" i="16" s="1"/>
  <c r="O91" i="16" s="1"/>
  <c r="AF42" i="14"/>
  <c r="K104" i="16" s="1"/>
  <c r="O104" i="16" s="1"/>
  <c r="AF30" i="14"/>
  <c r="K92" i="16" s="1"/>
  <c r="O92" i="16" s="1"/>
  <c r="AF39" i="14"/>
  <c r="K101" i="16" s="1"/>
  <c r="O101" i="16" s="1"/>
  <c r="AF23" i="14"/>
  <c r="K85" i="16" s="1"/>
  <c r="O85" i="16" s="1"/>
  <c r="AF24" i="14"/>
  <c r="K86" i="16" s="1"/>
  <c r="AF28" i="14"/>
  <c r="K90" i="16" s="1"/>
  <c r="O90" i="16" s="1"/>
  <c r="AF32" i="14"/>
  <c r="K94" i="16" s="1"/>
  <c r="AF37" i="14"/>
  <c r="K99" i="16" s="1"/>
  <c r="O99" i="16" s="1"/>
  <c r="AF41" i="14"/>
  <c r="K103" i="16" s="1"/>
  <c r="O103" i="16" s="1"/>
  <c r="AF25" i="14"/>
  <c r="K87" i="16" s="1"/>
  <c r="O87" i="16" s="1"/>
  <c r="AF33" i="14"/>
  <c r="K95" i="16" s="1"/>
  <c r="O95" i="16" s="1"/>
  <c r="AF38" i="14"/>
  <c r="K100" i="16" s="1"/>
  <c r="O100" i="16" s="1"/>
  <c r="AL5" i="12" a="1"/>
  <c r="AD17" i="14"/>
  <c r="I8" i="13" s="1"/>
  <c r="AG17" i="12"/>
  <c r="AD65" i="12"/>
  <c r="AF19" i="14"/>
  <c r="K8" i="16" s="1"/>
  <c r="O8" i="16" s="1"/>
  <c r="AE19" i="14"/>
  <c r="J8" i="16" s="1"/>
  <c r="N8" i="16" s="1"/>
  <c r="V4" i="5"/>
  <c r="M25" i="5"/>
  <c r="W4" i="5"/>
  <c r="N25" i="5"/>
  <c r="U4" i="5"/>
  <c r="L25" i="5"/>
  <c r="AD3" i="5"/>
  <c r="U24" i="5"/>
  <c r="AG4" i="5"/>
  <c r="X25" i="5"/>
  <c r="AI4" i="5"/>
  <c r="Z25" i="5"/>
  <c r="AK4" i="5"/>
  <c r="AB25" i="5"/>
  <c r="AD2" i="5"/>
  <c r="U23" i="5"/>
  <c r="AH4" i="5"/>
  <c r="Y25" i="5"/>
  <c r="AJ4" i="5"/>
  <c r="AA25" i="5"/>
  <c r="AL4" i="5"/>
  <c r="AC25" i="5"/>
  <c r="O108" i="16" l="1"/>
  <c r="N108" i="16"/>
  <c r="O107" i="16"/>
  <c r="J106" i="16"/>
  <c r="W135" i="16" s="1"/>
  <c r="N86" i="16"/>
  <c r="O86" i="16"/>
  <c r="K106" i="16"/>
  <c r="Z140" i="16" s="1"/>
  <c r="K108" i="16"/>
  <c r="AB140" i="16" s="1"/>
  <c r="AR128" i="16" s="1"/>
  <c r="O93" i="16"/>
  <c r="J108" i="16"/>
  <c r="Y135" i="16" s="1"/>
  <c r="N93" i="16"/>
  <c r="J107" i="16"/>
  <c r="X135" i="16" s="1"/>
  <c r="AN127" i="16" s="1"/>
  <c r="N89" i="16"/>
  <c r="K107" i="16"/>
  <c r="AA140" i="16" s="1"/>
  <c r="O89" i="16"/>
  <c r="N107" i="16"/>
  <c r="O94" i="16"/>
  <c r="O106" i="16"/>
  <c r="N106" i="16"/>
  <c r="K10" i="13"/>
  <c r="O10" i="13" s="1"/>
  <c r="K36" i="13"/>
  <c r="O36" i="13" s="1"/>
  <c r="K9" i="13"/>
  <c r="O8" i="13"/>
  <c r="J10" i="13"/>
  <c r="N10" i="13" s="1"/>
  <c r="J9" i="13"/>
  <c r="N8" i="13"/>
  <c r="J36" i="13"/>
  <c r="N36" i="13" s="1"/>
  <c r="AD19" i="14"/>
  <c r="I8" i="16" s="1"/>
  <c r="M8" i="16" s="1"/>
  <c r="AD24" i="14"/>
  <c r="I86" i="16" s="1"/>
  <c r="AD32" i="14"/>
  <c r="I94" i="15" s="1"/>
  <c r="AD41" i="14"/>
  <c r="AD25" i="14"/>
  <c r="AD42" i="14"/>
  <c r="AD26" i="14"/>
  <c r="I88" i="16" s="1"/>
  <c r="AD35" i="14"/>
  <c r="I97" i="16" s="1"/>
  <c r="AD23" i="14"/>
  <c r="I85" i="16" s="1"/>
  <c r="AD27" i="14"/>
  <c r="I89" i="15" s="1"/>
  <c r="AD36" i="14"/>
  <c r="I126" i="13" s="1"/>
  <c r="AD28" i="14"/>
  <c r="I90" i="16" s="1"/>
  <c r="AD30" i="14"/>
  <c r="I92" i="15" s="1"/>
  <c r="AD40" i="14"/>
  <c r="AD33" i="14"/>
  <c r="I95" i="16" s="1"/>
  <c r="AD37" i="14"/>
  <c r="I99" i="16" s="1"/>
  <c r="AD29" i="14"/>
  <c r="AD38" i="14"/>
  <c r="I100" i="15" s="1"/>
  <c r="AD39" i="14"/>
  <c r="I129" i="13" s="1"/>
  <c r="AD31" i="14"/>
  <c r="J125" i="13"/>
  <c r="N125" i="13" s="1"/>
  <c r="J97" i="15"/>
  <c r="J8" i="15"/>
  <c r="N8" i="15" s="1"/>
  <c r="K8" i="15"/>
  <c r="O8" i="15" s="1"/>
  <c r="J116" i="13"/>
  <c r="N116" i="13" s="1"/>
  <c r="J88" i="15"/>
  <c r="N88" i="15" s="1"/>
  <c r="J94" i="15"/>
  <c r="N94" i="15" s="1"/>
  <c r="J122" i="13"/>
  <c r="N122" i="13" s="1"/>
  <c r="J100" i="15"/>
  <c r="N100" i="15" s="1"/>
  <c r="J128" i="13"/>
  <c r="N128" i="13" s="1"/>
  <c r="J118" i="13"/>
  <c r="N118" i="13" s="1"/>
  <c r="J90" i="15"/>
  <c r="N90" i="15" s="1"/>
  <c r="J130" i="13"/>
  <c r="N130" i="13" s="1"/>
  <c r="J102" i="15"/>
  <c r="J86" i="15"/>
  <c r="N86" i="15" s="1"/>
  <c r="J114" i="13"/>
  <c r="N114" i="13" s="1"/>
  <c r="J93" i="15"/>
  <c r="N93" i="15" s="1"/>
  <c r="J121" i="13"/>
  <c r="N121" i="13" s="1"/>
  <c r="J104" i="15"/>
  <c r="N104" i="15" s="1"/>
  <c r="J132" i="13"/>
  <c r="N132" i="13" s="1"/>
  <c r="I95" i="15"/>
  <c r="J115" i="13"/>
  <c r="N115" i="13" s="1"/>
  <c r="J87" i="15"/>
  <c r="N87" i="15" s="1"/>
  <c r="J89" i="15"/>
  <c r="N89" i="15" s="1"/>
  <c r="J117" i="13"/>
  <c r="N117" i="13" s="1"/>
  <c r="I99" i="15"/>
  <c r="J103" i="15"/>
  <c r="N103" i="15" s="1"/>
  <c r="J131" i="13"/>
  <c r="N131" i="13" s="1"/>
  <c r="J127" i="13"/>
  <c r="N127" i="13" s="1"/>
  <c r="J99" i="15"/>
  <c r="J113" i="13"/>
  <c r="N113" i="13" s="1"/>
  <c r="J85" i="15"/>
  <c r="N85" i="15" s="1"/>
  <c r="AG17" i="14"/>
  <c r="L8" i="13" s="1"/>
  <c r="AG65" i="12"/>
  <c r="J95" i="15"/>
  <c r="N95" i="15" s="1"/>
  <c r="J123" i="13"/>
  <c r="J91" i="15"/>
  <c r="N91" i="15" s="1"/>
  <c r="J119" i="13"/>
  <c r="N119" i="13" s="1"/>
  <c r="J129" i="13"/>
  <c r="N129" i="13" s="1"/>
  <c r="J101" i="15"/>
  <c r="N101" i="15" s="1"/>
  <c r="J98" i="15"/>
  <c r="N98" i="15" s="1"/>
  <c r="J126" i="13"/>
  <c r="N126" i="13" s="1"/>
  <c r="J120" i="13"/>
  <c r="N120" i="13" s="1"/>
  <c r="J92" i="15"/>
  <c r="N92" i="15" s="1"/>
  <c r="AF7" i="12"/>
  <c r="AF7" i="14" s="1"/>
  <c r="AL6" i="14"/>
  <c r="AL7" i="14"/>
  <c r="AL5" i="12"/>
  <c r="AE6" i="12"/>
  <c r="AE6" i="14" s="1"/>
  <c r="AF6" i="12"/>
  <c r="AF6" i="14" s="1"/>
  <c r="AE7" i="12"/>
  <c r="AE7" i="14" s="1"/>
  <c r="AD6" i="12"/>
  <c r="AD7" i="12"/>
  <c r="AE26" i="12"/>
  <c r="AF26" i="12"/>
  <c r="AU4" i="5"/>
  <c r="AL25" i="5"/>
  <c r="AS4" i="5"/>
  <c r="AJ25" i="5"/>
  <c r="AQ4" i="5"/>
  <c r="AH25" i="5"/>
  <c r="AM2" i="5"/>
  <c r="AD23" i="5"/>
  <c r="AT4" i="5"/>
  <c r="AK25" i="5"/>
  <c r="AR4" i="5"/>
  <c r="AI25" i="5"/>
  <c r="AP4" i="5"/>
  <c r="AG25" i="5"/>
  <c r="AM3" i="5"/>
  <c r="AD24" i="5"/>
  <c r="AD4" i="5"/>
  <c r="U25" i="5"/>
  <c r="AF4" i="5"/>
  <c r="W25" i="5"/>
  <c r="AE4" i="5"/>
  <c r="V25" i="5"/>
  <c r="B24" i="1"/>
  <c r="B61" i="1" s="1"/>
  <c r="B88" i="1" s="1"/>
  <c r="B113" i="1" s="1"/>
  <c r="B138" i="1" s="1"/>
  <c r="B163" i="1" s="1"/>
  <c r="K3" i="1"/>
  <c r="I1" i="1"/>
  <c r="M1" i="1" s="1"/>
  <c r="Q1" i="1" s="1"/>
  <c r="U1" i="1" s="1"/>
  <c r="Y1" i="1" s="1"/>
  <c r="AC1" i="1" s="1"/>
  <c r="AG1" i="1" s="1"/>
  <c r="AK1" i="1" s="1"/>
  <c r="AO1" i="1" s="1"/>
  <c r="AS1" i="1" s="1"/>
  <c r="AW1" i="1" s="1"/>
  <c r="BA1" i="1" s="1"/>
  <c r="BE1" i="1" s="1"/>
  <c r="BI1" i="1" s="1"/>
  <c r="BM1" i="1" s="1"/>
  <c r="I3" i="1"/>
  <c r="J3" i="1"/>
  <c r="H3" i="1"/>
  <c r="H2" i="1"/>
  <c r="I86" i="15" l="1"/>
  <c r="I114" i="13"/>
  <c r="I8" i="15"/>
  <c r="M8" i="15" s="1"/>
  <c r="I116" i="13"/>
  <c r="M116" i="13" s="1"/>
  <c r="I88" i="15"/>
  <c r="M88" i="15" s="1"/>
  <c r="I123" i="13"/>
  <c r="I48" i="13" s="1"/>
  <c r="M48" i="13" s="1"/>
  <c r="I113" i="13"/>
  <c r="M113" i="13" s="1"/>
  <c r="I85" i="15"/>
  <c r="M85" i="15" s="1"/>
  <c r="I97" i="15"/>
  <c r="M97" i="15" s="1"/>
  <c r="I118" i="13"/>
  <c r="M118" i="13" s="1"/>
  <c r="I102" i="15"/>
  <c r="M102" i="15" s="1"/>
  <c r="I102" i="16"/>
  <c r="I104" i="15"/>
  <c r="M104" i="15" s="1"/>
  <c r="I104" i="16"/>
  <c r="L99" i="16"/>
  <c r="M99" i="16"/>
  <c r="I125" i="13"/>
  <c r="I120" i="13"/>
  <c r="M120" i="13" s="1"/>
  <c r="I92" i="16"/>
  <c r="I115" i="13"/>
  <c r="M115" i="13" s="1"/>
  <c r="I87" i="16"/>
  <c r="AO127" i="16"/>
  <c r="I103" i="15"/>
  <c r="I103" i="16"/>
  <c r="I127" i="13"/>
  <c r="I101" i="15"/>
  <c r="I107" i="15" s="1"/>
  <c r="U130" i="15" s="1"/>
  <c r="AK126" i="15" s="1"/>
  <c r="I101" i="16"/>
  <c r="I98" i="15"/>
  <c r="I98" i="16"/>
  <c r="I122" i="13"/>
  <c r="M122" i="13" s="1"/>
  <c r="I94" i="16"/>
  <c r="L90" i="16"/>
  <c r="M90" i="16"/>
  <c r="P90" i="16" s="1"/>
  <c r="I128" i="13"/>
  <c r="M128" i="13" s="1"/>
  <c r="I100" i="16"/>
  <c r="I117" i="13"/>
  <c r="M117" i="13" s="1"/>
  <c r="I89" i="16"/>
  <c r="M86" i="16"/>
  <c r="P86" i="16" s="1"/>
  <c r="L86" i="16"/>
  <c r="AQ128" i="16"/>
  <c r="AP128" i="16"/>
  <c r="AE145" i="16"/>
  <c r="BE140" i="16" s="1"/>
  <c r="I121" i="13"/>
  <c r="M121" i="13" s="1"/>
  <c r="I93" i="16"/>
  <c r="I91" i="15"/>
  <c r="M91" i="15" s="1"/>
  <c r="I91" i="16"/>
  <c r="L85" i="16"/>
  <c r="M85" i="16"/>
  <c r="P85" i="16" s="1"/>
  <c r="L97" i="16"/>
  <c r="M97" i="16"/>
  <c r="I90" i="15"/>
  <c r="M90" i="15" s="1"/>
  <c r="L95" i="16"/>
  <c r="M95" i="16"/>
  <c r="P95" i="16" s="1"/>
  <c r="L88" i="16"/>
  <c r="M88" i="16"/>
  <c r="P88" i="16" s="1"/>
  <c r="AD145" i="16"/>
  <c r="BD135" i="16" s="1"/>
  <c r="AM127" i="16"/>
  <c r="I87" i="15"/>
  <c r="M87" i="15" s="1"/>
  <c r="I130" i="13"/>
  <c r="M130" i="13" s="1"/>
  <c r="I131" i="13"/>
  <c r="M131" i="13" s="1"/>
  <c r="I93" i="15"/>
  <c r="M93" i="15" s="1"/>
  <c r="P8" i="13"/>
  <c r="L24" i="13"/>
  <c r="P24" i="13" s="1"/>
  <c r="L10" i="13"/>
  <c r="P10" i="13" s="1"/>
  <c r="L9" i="13"/>
  <c r="L36" i="13"/>
  <c r="I119" i="13"/>
  <c r="M119" i="13" s="1"/>
  <c r="I132" i="13"/>
  <c r="M132" i="13" s="1"/>
  <c r="M8" i="13"/>
  <c r="I24" i="13"/>
  <c r="M24" i="13" s="1"/>
  <c r="I10" i="13"/>
  <c r="M10" i="13" s="1"/>
  <c r="I9" i="13"/>
  <c r="I36" i="13"/>
  <c r="M36" i="13" s="1"/>
  <c r="K24" i="13"/>
  <c r="O24" i="13" s="1"/>
  <c r="J24" i="13"/>
  <c r="N24" i="13" s="1"/>
  <c r="M114" i="13"/>
  <c r="M125" i="13"/>
  <c r="M101" i="15"/>
  <c r="M99" i="15"/>
  <c r="M100" i="15"/>
  <c r="M94" i="15"/>
  <c r="J108" i="15"/>
  <c r="Y135" i="15" s="1"/>
  <c r="AO127" i="15" s="1"/>
  <c r="N97" i="15"/>
  <c r="N108" i="15" s="1"/>
  <c r="M129" i="13"/>
  <c r="AD7" i="14"/>
  <c r="AG7" i="12"/>
  <c r="AF23" i="12" s="1"/>
  <c r="N99" i="15"/>
  <c r="N107" i="15" s="1"/>
  <c r="J107" i="15"/>
  <c r="X135" i="15" s="1"/>
  <c r="M127" i="13"/>
  <c r="M89" i="15"/>
  <c r="M86" i="15"/>
  <c r="AE5" i="12"/>
  <c r="AL5" i="14"/>
  <c r="AL8" i="12"/>
  <c r="AF5" i="12"/>
  <c r="AD5" i="12"/>
  <c r="AD26" i="12"/>
  <c r="AD6" i="14"/>
  <c r="AG6" i="12"/>
  <c r="AE23" i="12" s="1"/>
  <c r="M126" i="13"/>
  <c r="J48" i="13"/>
  <c r="N48" i="13" s="1"/>
  <c r="U144" i="13"/>
  <c r="N123" i="13"/>
  <c r="M95" i="15"/>
  <c r="N102" i="15"/>
  <c r="N106" i="15" s="1"/>
  <c r="J106" i="15"/>
  <c r="W135" i="15" s="1"/>
  <c r="AG19" i="14"/>
  <c r="L8" i="16" s="1"/>
  <c r="P8" i="16" s="1"/>
  <c r="M92" i="15"/>
  <c r="AN4" i="5"/>
  <c r="AE25" i="5"/>
  <c r="AO4" i="5"/>
  <c r="AF25" i="5"/>
  <c r="AM4" i="5"/>
  <c r="AD25" i="5"/>
  <c r="AV3" i="5"/>
  <c r="AM24" i="5"/>
  <c r="AY4" i="5"/>
  <c r="AP25" i="5"/>
  <c r="BA4" i="5"/>
  <c r="AR25" i="5"/>
  <c r="BC4" i="5"/>
  <c r="AT25" i="5"/>
  <c r="AV2" i="5"/>
  <c r="AM23" i="5"/>
  <c r="AZ4" i="5"/>
  <c r="AQ25" i="5"/>
  <c r="BB4" i="5"/>
  <c r="AS25" i="5"/>
  <c r="BD4" i="5"/>
  <c r="AU25" i="5"/>
  <c r="L2" i="1"/>
  <c r="H29" i="1"/>
  <c r="H39" i="1" s="1"/>
  <c r="L3" i="1"/>
  <c r="H30" i="1"/>
  <c r="H40" i="1" s="1"/>
  <c r="E67" i="1" s="1"/>
  <c r="N3" i="1"/>
  <c r="J30" i="1"/>
  <c r="J40" i="1" s="1"/>
  <c r="E117" i="1" s="1"/>
  <c r="M3" i="1"/>
  <c r="I30" i="1"/>
  <c r="I40" i="1" s="1"/>
  <c r="E92" i="1" s="1"/>
  <c r="O3" i="1"/>
  <c r="K30" i="1"/>
  <c r="K40" i="1" s="1"/>
  <c r="E142" i="1" s="1"/>
  <c r="H26" i="1"/>
  <c r="M123" i="13" l="1"/>
  <c r="I108" i="15"/>
  <c r="V130" i="15" s="1"/>
  <c r="T139" i="13"/>
  <c r="AB139" i="13" s="1"/>
  <c r="M98" i="15"/>
  <c r="M108" i="15" s="1"/>
  <c r="I106" i="15"/>
  <c r="T130" i="15" s="1"/>
  <c r="AJ126" i="15" s="1"/>
  <c r="M103" i="15"/>
  <c r="M106" i="15" s="1"/>
  <c r="BB135" i="16"/>
  <c r="I108" i="16"/>
  <c r="V130" i="16" s="1"/>
  <c r="M93" i="16"/>
  <c r="P93" i="16" s="1"/>
  <c r="L93" i="16"/>
  <c r="M94" i="16"/>
  <c r="P94" i="16" s="1"/>
  <c r="L94" i="16"/>
  <c r="P99" i="16"/>
  <c r="P97" i="16"/>
  <c r="BC135" i="16"/>
  <c r="BI135" i="16"/>
  <c r="I107" i="16"/>
  <c r="U130" i="16" s="1"/>
  <c r="AK126" i="16" s="1"/>
  <c r="AT129" i="16" s="1"/>
  <c r="M89" i="16"/>
  <c r="P89" i="16" s="1"/>
  <c r="L89" i="16"/>
  <c r="M98" i="16"/>
  <c r="P98" i="16" s="1"/>
  <c r="L98" i="16"/>
  <c r="L104" i="16"/>
  <c r="M104" i="16"/>
  <c r="P104" i="16" s="1"/>
  <c r="BG140" i="16"/>
  <c r="BJ140" i="16"/>
  <c r="M87" i="16"/>
  <c r="P87" i="16" s="1"/>
  <c r="L87" i="16"/>
  <c r="L106" i="16" s="1"/>
  <c r="L100" i="16"/>
  <c r="M100" i="16"/>
  <c r="P100" i="16" s="1"/>
  <c r="L101" i="16"/>
  <c r="M101" i="16"/>
  <c r="P101" i="16" s="1"/>
  <c r="M102" i="16"/>
  <c r="L102" i="16"/>
  <c r="BF140" i="16"/>
  <c r="M92" i="16"/>
  <c r="P92" i="16" s="1"/>
  <c r="L92" i="16"/>
  <c r="M91" i="16"/>
  <c r="P91" i="16" s="1"/>
  <c r="L91" i="16"/>
  <c r="I106" i="16"/>
  <c r="T130" i="16" s="1"/>
  <c r="L103" i="16"/>
  <c r="M103" i="16"/>
  <c r="P103" i="16" s="1"/>
  <c r="K86" i="15"/>
  <c r="K114" i="13"/>
  <c r="AG24" i="14"/>
  <c r="K91" i="15"/>
  <c r="K119" i="13"/>
  <c r="AG29" i="14"/>
  <c r="K101" i="15"/>
  <c r="K129" i="13"/>
  <c r="AG39" i="14"/>
  <c r="K94" i="15"/>
  <c r="K122" i="13"/>
  <c r="AG32" i="14"/>
  <c r="K118" i="13"/>
  <c r="K90" i="15"/>
  <c r="AG28" i="14"/>
  <c r="K99" i="15"/>
  <c r="K127" i="13"/>
  <c r="AG37" i="14"/>
  <c r="K87" i="15"/>
  <c r="K115" i="13"/>
  <c r="AG25" i="14"/>
  <c r="AL126" i="15"/>
  <c r="AC139" i="13"/>
  <c r="K126" i="13"/>
  <c r="K98" i="15"/>
  <c r="AG36" i="14"/>
  <c r="AG7" i="14"/>
  <c r="AK7" i="12"/>
  <c r="K103" i="15"/>
  <c r="K131" i="13"/>
  <c r="AG41" i="14"/>
  <c r="K85" i="15"/>
  <c r="K113" i="13"/>
  <c r="AG23" i="14"/>
  <c r="AD5" i="14"/>
  <c r="AG5" i="12"/>
  <c r="AD23" i="12" s="1"/>
  <c r="AD8" i="12"/>
  <c r="AD19" i="12" s="1"/>
  <c r="P36" i="13"/>
  <c r="L8" i="15"/>
  <c r="P8" i="15" s="1"/>
  <c r="AL8" i="14"/>
  <c r="AG26" i="12"/>
  <c r="K117" i="13"/>
  <c r="K89" i="15"/>
  <c r="AG27" i="14"/>
  <c r="K100" i="15"/>
  <c r="K128" i="13"/>
  <c r="AG38" i="14"/>
  <c r="K132" i="13"/>
  <c r="K104" i="15"/>
  <c r="AG42" i="14"/>
  <c r="K95" i="15"/>
  <c r="K123" i="13"/>
  <c r="AG33" i="14"/>
  <c r="AN127" i="15"/>
  <c r="AM127" i="15"/>
  <c r="AD145" i="15"/>
  <c r="BB135" i="15" s="1"/>
  <c r="AF5" i="14"/>
  <c r="AF8" i="12"/>
  <c r="AF19" i="12" s="1"/>
  <c r="K125" i="13"/>
  <c r="K97" i="15"/>
  <c r="AG35" i="14"/>
  <c r="K130" i="13"/>
  <c r="K102" i="15"/>
  <c r="AG40" i="14"/>
  <c r="K93" i="15"/>
  <c r="K121" i="13"/>
  <c r="AG31" i="14"/>
  <c r="K92" i="15"/>
  <c r="K120" i="13"/>
  <c r="AG30" i="14"/>
  <c r="K116" i="13"/>
  <c r="K88" i="15"/>
  <c r="AG26" i="14"/>
  <c r="AG6" i="14"/>
  <c r="AK6" i="12"/>
  <c r="AE5" i="14"/>
  <c r="AE8" i="12"/>
  <c r="AE19" i="12" s="1"/>
  <c r="M107" i="15"/>
  <c r="BD25" i="5"/>
  <c r="BM4" i="5"/>
  <c r="BB25" i="5"/>
  <c r="BK4" i="5"/>
  <c r="AZ25" i="5"/>
  <c r="BI4" i="5"/>
  <c r="AV23" i="5"/>
  <c r="BE2" i="5"/>
  <c r="BC25" i="5"/>
  <c r="BL4" i="5"/>
  <c r="BA25" i="5"/>
  <c r="BJ4" i="5"/>
  <c r="AY25" i="5"/>
  <c r="BH4" i="5"/>
  <c r="AV24" i="5"/>
  <c r="BE3" i="5"/>
  <c r="AV4" i="5"/>
  <c r="AM25" i="5"/>
  <c r="AX4" i="5"/>
  <c r="AO25" i="5"/>
  <c r="AW4" i="5"/>
  <c r="AN25" i="5"/>
  <c r="R3" i="1"/>
  <c r="N30" i="1"/>
  <c r="N40" i="1" s="1"/>
  <c r="F117" i="1" s="1"/>
  <c r="S3" i="1"/>
  <c r="O30" i="1"/>
  <c r="O40" i="1" s="1"/>
  <c r="F142" i="1" s="1"/>
  <c r="P3" i="1"/>
  <c r="L30" i="1"/>
  <c r="L40" i="1" s="1"/>
  <c r="F67" i="1" s="1"/>
  <c r="Q3" i="1"/>
  <c r="M30" i="1"/>
  <c r="M40" i="1" s="1"/>
  <c r="F92" i="1" s="1"/>
  <c r="P2" i="1"/>
  <c r="L29" i="1"/>
  <c r="L39" i="1" s="1"/>
  <c r="BC63" i="6" a="1"/>
  <c r="BC63" i="6" s="1"/>
  <c r="AX63" i="6" a="1"/>
  <c r="AX69" i="6" s="1"/>
  <c r="AX73" i="6" a="1"/>
  <c r="AX79" i="6" s="1"/>
  <c r="BE30" i="6"/>
  <c r="BF30" i="6" s="1"/>
  <c r="BH30" i="6"/>
  <c r="BI30" i="6" s="1"/>
  <c r="BC73" i="6" a="1"/>
  <c r="BH33" i="6" s="1"/>
  <c r="BI33" i="6" s="1"/>
  <c r="AC145" i="15" l="1"/>
  <c r="BA130" i="15" s="1"/>
  <c r="P108" i="16"/>
  <c r="M108" i="16"/>
  <c r="L107" i="16"/>
  <c r="M107" i="16"/>
  <c r="M106" i="16"/>
  <c r="P102" i="16"/>
  <c r="P106" i="16" s="1"/>
  <c r="AJ126" i="16"/>
  <c r="AS129" i="16" s="1"/>
  <c r="AC145" i="16"/>
  <c r="AY130" i="16" s="1"/>
  <c r="L108" i="16"/>
  <c r="AF130" i="16" s="1"/>
  <c r="AL126" i="16"/>
  <c r="AU129" i="16" s="1"/>
  <c r="P107" i="16"/>
  <c r="AF8" i="14"/>
  <c r="AF11" i="12"/>
  <c r="AF20" i="12" s="1"/>
  <c r="O89" i="15"/>
  <c r="P89" i="15" s="1"/>
  <c r="L89" i="15"/>
  <c r="O88" i="15"/>
  <c r="P88" i="15" s="1"/>
  <c r="L88" i="15"/>
  <c r="O104" i="15"/>
  <c r="P104" i="15" s="1"/>
  <c r="L104" i="15"/>
  <c r="O113" i="13"/>
  <c r="P113" i="13" s="1"/>
  <c r="L113" i="13"/>
  <c r="O91" i="15"/>
  <c r="P91" i="15" s="1"/>
  <c r="L91" i="15"/>
  <c r="O116" i="13"/>
  <c r="P116" i="13" s="1"/>
  <c r="L116" i="13"/>
  <c r="O125" i="13"/>
  <c r="P125" i="13" s="1"/>
  <c r="L125" i="13"/>
  <c r="AZ130" i="15"/>
  <c r="O123" i="13"/>
  <c r="P123" i="13" s="1"/>
  <c r="V149" i="13"/>
  <c r="K48" i="13"/>
  <c r="O48" i="13" s="1"/>
  <c r="L123" i="13"/>
  <c r="O103" i="15"/>
  <c r="P103" i="15" s="1"/>
  <c r="L103" i="15"/>
  <c r="O118" i="13"/>
  <c r="P118" i="13" s="1"/>
  <c r="L118" i="13"/>
  <c r="O95" i="15"/>
  <c r="P95" i="15" s="1"/>
  <c r="L95" i="15"/>
  <c r="O98" i="15"/>
  <c r="P98" i="15" s="1"/>
  <c r="L98" i="15"/>
  <c r="O126" i="13"/>
  <c r="P126" i="13" s="1"/>
  <c r="L126" i="13"/>
  <c r="K106" i="15"/>
  <c r="Z140" i="15" s="1"/>
  <c r="O102" i="15"/>
  <c r="L102" i="15"/>
  <c r="O121" i="13"/>
  <c r="P121" i="13" s="1"/>
  <c r="L121" i="13"/>
  <c r="O93" i="15"/>
  <c r="P93" i="15" s="1"/>
  <c r="L93" i="15"/>
  <c r="O122" i="13"/>
  <c r="P122" i="13" s="1"/>
  <c r="L122" i="13"/>
  <c r="O117" i="13"/>
  <c r="P117" i="13" s="1"/>
  <c r="L117" i="13"/>
  <c r="AE8" i="14"/>
  <c r="AE11" i="12"/>
  <c r="O130" i="13"/>
  <c r="P130" i="13" s="1"/>
  <c r="L130" i="13"/>
  <c r="BD135" i="15"/>
  <c r="BI135" i="15"/>
  <c r="BC135" i="15"/>
  <c r="AK7" i="14"/>
  <c r="AJ7" i="12"/>
  <c r="AJ7" i="14" s="1"/>
  <c r="AI7" i="12"/>
  <c r="AI7" i="14" s="1"/>
  <c r="AH7" i="12"/>
  <c r="O115" i="13"/>
  <c r="P115" i="13" s="1"/>
  <c r="L115" i="13"/>
  <c r="K107" i="15"/>
  <c r="AA140" i="15" s="1"/>
  <c r="AQ128" i="15" s="1"/>
  <c r="AT129" i="15" s="1"/>
  <c r="O99" i="15"/>
  <c r="L99" i="15"/>
  <c r="O114" i="13"/>
  <c r="P114" i="13" s="1"/>
  <c r="L114" i="13"/>
  <c r="O132" i="13"/>
  <c r="P132" i="13" s="1"/>
  <c r="L132" i="13"/>
  <c r="O85" i="15"/>
  <c r="P85" i="15" s="1"/>
  <c r="L85" i="15"/>
  <c r="O120" i="13"/>
  <c r="P120" i="13" s="1"/>
  <c r="L120" i="13"/>
  <c r="O128" i="13"/>
  <c r="P128" i="13" s="1"/>
  <c r="L128" i="13"/>
  <c r="AD8" i="14"/>
  <c r="AD11" i="12"/>
  <c r="AD20" i="12" s="1"/>
  <c r="AF25" i="12"/>
  <c r="O87" i="15"/>
  <c r="P87" i="15" s="1"/>
  <c r="L87" i="15"/>
  <c r="O129" i="13"/>
  <c r="P129" i="13" s="1"/>
  <c r="L129" i="13"/>
  <c r="O86" i="15"/>
  <c r="P86" i="15" s="1"/>
  <c r="L86" i="15"/>
  <c r="O119" i="13"/>
  <c r="P119" i="13" s="1"/>
  <c r="L119" i="13"/>
  <c r="O94" i="15"/>
  <c r="P94" i="15" s="1"/>
  <c r="L94" i="15"/>
  <c r="O127" i="13"/>
  <c r="P127" i="13" s="1"/>
  <c r="L127" i="13"/>
  <c r="AE25" i="12"/>
  <c r="AK6" i="14"/>
  <c r="AJ6" i="12"/>
  <c r="AJ6" i="14" s="1"/>
  <c r="AH6" i="12"/>
  <c r="AI6" i="12"/>
  <c r="AI6" i="14" s="1"/>
  <c r="O92" i="15"/>
  <c r="P92" i="15" s="1"/>
  <c r="L92" i="15"/>
  <c r="O97" i="15"/>
  <c r="K108" i="15"/>
  <c r="AB140" i="15" s="1"/>
  <c r="L97" i="15"/>
  <c r="O100" i="15"/>
  <c r="P100" i="15" s="1"/>
  <c r="L100" i="15"/>
  <c r="AG5" i="14"/>
  <c r="AG8" i="12"/>
  <c r="AG23" i="12" s="1"/>
  <c r="AK5" i="12"/>
  <c r="AD25" i="12" s="1"/>
  <c r="O131" i="13"/>
  <c r="P131" i="13" s="1"/>
  <c r="L131" i="13"/>
  <c r="O90" i="15"/>
  <c r="P90" i="15" s="1"/>
  <c r="L90" i="15"/>
  <c r="O101" i="15"/>
  <c r="P101" i="15" s="1"/>
  <c r="L101" i="15"/>
  <c r="BN3" i="5"/>
  <c r="BE24" i="5"/>
  <c r="BQ4" i="5"/>
  <c r="BH25" i="5"/>
  <c r="BS4" i="5"/>
  <c r="BJ25" i="5"/>
  <c r="BU4" i="5"/>
  <c r="BL25" i="5"/>
  <c r="BN2" i="5"/>
  <c r="BE23" i="5"/>
  <c r="BR4" i="5"/>
  <c r="BI25" i="5"/>
  <c r="BT4" i="5"/>
  <c r="BK25" i="5"/>
  <c r="BV4" i="5"/>
  <c r="BM25" i="5"/>
  <c r="BF4" i="5"/>
  <c r="AW25" i="5"/>
  <c r="BG4" i="5"/>
  <c r="AX25" i="5"/>
  <c r="BE4" i="5"/>
  <c r="AV25" i="5"/>
  <c r="U3" i="1"/>
  <c r="Q30" i="1"/>
  <c r="Q40" i="1" s="1"/>
  <c r="G92" i="1" s="1"/>
  <c r="T3" i="1"/>
  <c r="P30" i="1"/>
  <c r="P40" i="1" s="1"/>
  <c r="G67" i="1" s="1"/>
  <c r="W3" i="1"/>
  <c r="S30" i="1"/>
  <c r="S40" i="1" s="1"/>
  <c r="G142" i="1" s="1"/>
  <c r="T2" i="1"/>
  <c r="P29" i="1"/>
  <c r="P39" i="1" s="1"/>
  <c r="V3" i="1"/>
  <c r="R30" i="1"/>
  <c r="R40" i="1" s="1"/>
  <c r="G117" i="1" s="1"/>
  <c r="BH32" i="6"/>
  <c r="BI32" i="6" s="1"/>
  <c r="BC69" i="6"/>
  <c r="BH34" i="6"/>
  <c r="BI34" i="6" s="1"/>
  <c r="BC79" i="6"/>
  <c r="BC73" i="6"/>
  <c r="BH31" i="6" s="1"/>
  <c r="BI31" i="6" s="1"/>
  <c r="BE33" i="6"/>
  <c r="BF33" i="6" s="1"/>
  <c r="BE32" i="6"/>
  <c r="BF32" i="6" s="1"/>
  <c r="BE34" i="6"/>
  <c r="BF34" i="6" s="1"/>
  <c r="AX63" i="6"/>
  <c r="AX73" i="6"/>
  <c r="BE31" i="6" s="1"/>
  <c r="BF31" i="6" s="1"/>
  <c r="AY130" i="15" l="1"/>
  <c r="BH130" i="15"/>
  <c r="L106" i="15"/>
  <c r="AZ130" i="16"/>
  <c r="BH130" i="16"/>
  <c r="BA130" i="16"/>
  <c r="AG19" i="12"/>
  <c r="L107" i="15"/>
  <c r="L108" i="15"/>
  <c r="AF130" i="15" s="1"/>
  <c r="AD11" i="14"/>
  <c r="AD22" i="12"/>
  <c r="AE22" i="12"/>
  <c r="AE11" i="14"/>
  <c r="W154" i="13"/>
  <c r="L48" i="13"/>
  <c r="P48" i="13" s="1"/>
  <c r="O107" i="15"/>
  <c r="P99" i="15"/>
  <c r="P107" i="15" s="1"/>
  <c r="AD139" i="13"/>
  <c r="O106" i="15"/>
  <c r="P102" i="15"/>
  <c r="P106" i="15" s="1"/>
  <c r="AH6" i="14"/>
  <c r="AE24" i="12"/>
  <c r="O108" i="15"/>
  <c r="P97" i="15"/>
  <c r="P108" i="15" s="1"/>
  <c r="AF22" i="12"/>
  <c r="AF11" i="14"/>
  <c r="AG8" i="14"/>
  <c r="AG11" i="12"/>
  <c r="AJ23" i="12" s="1"/>
  <c r="AH7" i="14"/>
  <c r="AF24" i="12"/>
  <c r="AK5" i="14"/>
  <c r="AK8" i="12"/>
  <c r="AG25" i="12" s="1"/>
  <c r="AJ5" i="12"/>
  <c r="AI5" i="12"/>
  <c r="AH5" i="12"/>
  <c r="AE145" i="15"/>
  <c r="BE140" i="15" s="1"/>
  <c r="AR128" i="15"/>
  <c r="AU129" i="15" s="1"/>
  <c r="AP128" i="15"/>
  <c r="AS129" i="15" s="1"/>
  <c r="AE20" i="12"/>
  <c r="BN4" i="5"/>
  <c r="BE25" i="5"/>
  <c r="BP4" i="5"/>
  <c r="BG25" i="5"/>
  <c r="BO4" i="5"/>
  <c r="BF25" i="5"/>
  <c r="CE4" i="5"/>
  <c r="BV25" i="5"/>
  <c r="CC4" i="5"/>
  <c r="BT25" i="5"/>
  <c r="CA4" i="5"/>
  <c r="BR25" i="5"/>
  <c r="BW2" i="5"/>
  <c r="BN23" i="5"/>
  <c r="CD4" i="5"/>
  <c r="BU25" i="5"/>
  <c r="CB4" i="5"/>
  <c r="BS25" i="5"/>
  <c r="BZ4" i="5"/>
  <c r="BQ25" i="5"/>
  <c r="BW3" i="5"/>
  <c r="BN24" i="5"/>
  <c r="X2" i="1"/>
  <c r="T29" i="1"/>
  <c r="T39" i="1" s="1"/>
  <c r="AA3" i="1"/>
  <c r="W30" i="1"/>
  <c r="W40" i="1" s="1"/>
  <c r="H142" i="1" s="1"/>
  <c r="X3" i="1"/>
  <c r="T30" i="1"/>
  <c r="T40" i="1" s="1"/>
  <c r="H67" i="1" s="1"/>
  <c r="Z3" i="1"/>
  <c r="V30" i="1"/>
  <c r="V40" i="1" s="1"/>
  <c r="H117" i="1" s="1"/>
  <c r="Y3" i="1"/>
  <c r="U30" i="1"/>
  <c r="U40" i="1" s="1"/>
  <c r="H92" i="1" s="1"/>
  <c r="BH35" i="6"/>
  <c r="BI35" i="6" s="1"/>
  <c r="BE35" i="6"/>
  <c r="BF35" i="6" s="1"/>
  <c r="AG20" i="12" l="1"/>
  <c r="AI5" i="14"/>
  <c r="AI8" i="12"/>
  <c r="AJ5" i="14"/>
  <c r="AJ8" i="12"/>
  <c r="BG140" i="15"/>
  <c r="AL139" i="13"/>
  <c r="AE139" i="13"/>
  <c r="AJ139" i="13"/>
  <c r="AI139" i="13"/>
  <c r="AK8" i="14"/>
  <c r="AK139" i="13"/>
  <c r="BF140" i="15"/>
  <c r="BJ140" i="15"/>
  <c r="AH5" i="14"/>
  <c r="AH8" i="12"/>
  <c r="AD24" i="12"/>
  <c r="AG11" i="14"/>
  <c r="AG22" i="12"/>
  <c r="CF3" i="5"/>
  <c r="BW24" i="5"/>
  <c r="CI4" i="5"/>
  <c r="BZ25" i="5"/>
  <c r="CK4" i="5"/>
  <c r="CB25" i="5"/>
  <c r="CM4" i="5"/>
  <c r="CD25" i="5"/>
  <c r="CF2" i="5"/>
  <c r="BW23" i="5"/>
  <c r="CJ4" i="5"/>
  <c r="CA25" i="5"/>
  <c r="CL4" i="5"/>
  <c r="CC25" i="5"/>
  <c r="CN4" i="5"/>
  <c r="CE25" i="5"/>
  <c r="BX4" i="5"/>
  <c r="BO25" i="5"/>
  <c r="BY4" i="5"/>
  <c r="BP25" i="5"/>
  <c r="BW4" i="5"/>
  <c r="BN25" i="5"/>
  <c r="AD3" i="1"/>
  <c r="Z30" i="1"/>
  <c r="Z40" i="1" s="1"/>
  <c r="I117" i="1" s="1"/>
  <c r="AB3" i="1"/>
  <c r="X30" i="1"/>
  <c r="X40" i="1" s="1"/>
  <c r="I67" i="1" s="1"/>
  <c r="AE3" i="1"/>
  <c r="AA30" i="1"/>
  <c r="AA40" i="1" s="1"/>
  <c r="I142" i="1" s="1"/>
  <c r="AC3" i="1"/>
  <c r="Y30" i="1"/>
  <c r="Y40" i="1" s="1"/>
  <c r="I92" i="1" s="1"/>
  <c r="AB2" i="1"/>
  <c r="X29" i="1"/>
  <c r="X39" i="1" s="1"/>
  <c r="AH8" i="14" l="1"/>
  <c r="AG24" i="12"/>
  <c r="AH9" i="12"/>
  <c r="AH10" i="12"/>
  <c r="AI8" i="14"/>
  <c r="AI10" i="12"/>
  <c r="AI10" i="14" s="1"/>
  <c r="AI9" i="12"/>
  <c r="AI9" i="14" s="1"/>
  <c r="AJ8" i="14"/>
  <c r="AJ10" i="12"/>
  <c r="AJ10" i="14" s="1"/>
  <c r="AJ9" i="12"/>
  <c r="AJ9" i="14" s="1"/>
  <c r="CF4" i="5"/>
  <c r="BW25" i="5"/>
  <c r="CH4" i="5"/>
  <c r="BY25" i="5"/>
  <c r="CG4" i="5"/>
  <c r="BX25" i="5"/>
  <c r="CW4" i="5"/>
  <c r="DF4" i="5" s="1"/>
  <c r="DO4" i="5" s="1"/>
  <c r="DX4" i="5" s="1"/>
  <c r="EG4" i="5" s="1"/>
  <c r="EP4" i="5" s="1"/>
  <c r="CN25" i="5"/>
  <c r="CU4" i="5"/>
  <c r="DD4" i="5" s="1"/>
  <c r="DM4" i="5" s="1"/>
  <c r="DV4" i="5" s="1"/>
  <c r="EE4" i="5" s="1"/>
  <c r="EN4" i="5" s="1"/>
  <c r="CL25" i="5"/>
  <c r="CS4" i="5"/>
  <c r="DB4" i="5" s="1"/>
  <c r="DK4" i="5" s="1"/>
  <c r="DT4" i="5" s="1"/>
  <c r="EC4" i="5" s="1"/>
  <c r="EL4" i="5" s="1"/>
  <c r="CJ25" i="5"/>
  <c r="CO2" i="5"/>
  <c r="CX2" i="5" s="1"/>
  <c r="DG2" i="5" s="1"/>
  <c r="DP2" i="5" s="1"/>
  <c r="DY2" i="5" s="1"/>
  <c r="EH2" i="5" s="1"/>
  <c r="CF23" i="5"/>
  <c r="CV4" i="5"/>
  <c r="DE4" i="5" s="1"/>
  <c r="DN4" i="5" s="1"/>
  <c r="DW4" i="5" s="1"/>
  <c r="EF4" i="5" s="1"/>
  <c r="EO4" i="5" s="1"/>
  <c r="CM25" i="5"/>
  <c r="CT4" i="5"/>
  <c r="DC4" i="5" s="1"/>
  <c r="DL4" i="5" s="1"/>
  <c r="DU4" i="5" s="1"/>
  <c r="ED4" i="5" s="1"/>
  <c r="EM4" i="5" s="1"/>
  <c r="CK25" i="5"/>
  <c r="CR4" i="5"/>
  <c r="DA4" i="5" s="1"/>
  <c r="DJ4" i="5" s="1"/>
  <c r="DS4" i="5" s="1"/>
  <c r="EB4" i="5" s="1"/>
  <c r="EK4" i="5" s="1"/>
  <c r="CI25" i="5"/>
  <c r="CO3" i="5"/>
  <c r="CX3" i="5" s="1"/>
  <c r="DG3" i="5" s="1"/>
  <c r="DP3" i="5" s="1"/>
  <c r="DY3" i="5" s="1"/>
  <c r="EH3" i="5" s="1"/>
  <c r="CF24" i="5"/>
  <c r="AF3" i="1"/>
  <c r="AB30" i="1"/>
  <c r="AB40" i="1" s="1"/>
  <c r="J67" i="1" s="1"/>
  <c r="AI3" i="1"/>
  <c r="AE30" i="1"/>
  <c r="AE40" i="1" s="1"/>
  <c r="J142" i="1" s="1"/>
  <c r="AG3" i="1"/>
  <c r="AC30" i="1"/>
  <c r="AC40" i="1" s="1"/>
  <c r="J92" i="1" s="1"/>
  <c r="AF2" i="1"/>
  <c r="AB29" i="1"/>
  <c r="AB39" i="1" s="1"/>
  <c r="AH3" i="1"/>
  <c r="AD30" i="1"/>
  <c r="AD40" i="1" s="1"/>
  <c r="J117" i="1" s="1"/>
  <c r="AI11" i="12" l="1"/>
  <c r="AI11" i="14" s="1"/>
  <c r="AH11" i="12"/>
  <c r="AH11" i="14" s="1"/>
  <c r="AJ11" i="12"/>
  <c r="AJ11" i="14" s="1"/>
  <c r="AH10" i="14"/>
  <c r="AK10" i="12"/>
  <c r="AI24" i="12" s="1"/>
  <c r="AH9" i="14"/>
  <c r="AK9" i="12"/>
  <c r="CP4" i="5"/>
  <c r="CY4" i="5" s="1"/>
  <c r="DH4" i="5" s="1"/>
  <c r="DQ4" i="5" s="1"/>
  <c r="DZ4" i="5" s="1"/>
  <c r="EI4" i="5" s="1"/>
  <c r="CG25" i="5"/>
  <c r="CQ4" i="5"/>
  <c r="CZ4" i="5" s="1"/>
  <c r="DI4" i="5" s="1"/>
  <c r="DR4" i="5" s="1"/>
  <c r="EA4" i="5" s="1"/>
  <c r="EJ4" i="5" s="1"/>
  <c r="CH25" i="5"/>
  <c r="CO4" i="5"/>
  <c r="CX4" i="5" s="1"/>
  <c r="DG4" i="5" s="1"/>
  <c r="DP4" i="5" s="1"/>
  <c r="DY4" i="5" s="1"/>
  <c r="EH4" i="5" s="1"/>
  <c r="CF25" i="5"/>
  <c r="AJ2" i="1"/>
  <c r="AF29" i="1"/>
  <c r="AF39" i="1" s="1"/>
  <c r="AM3" i="1"/>
  <c r="AI30" i="1"/>
  <c r="AI40" i="1" s="1"/>
  <c r="K142" i="1" s="1"/>
  <c r="AK3" i="1"/>
  <c r="AG30" i="1"/>
  <c r="AG40" i="1" s="1"/>
  <c r="K92" i="1" s="1"/>
  <c r="AL3" i="1"/>
  <c r="AH30" i="1"/>
  <c r="AH40" i="1" s="1"/>
  <c r="K117" i="1" s="1"/>
  <c r="AJ3" i="1"/>
  <c r="AF30" i="1"/>
  <c r="AF40" i="1" s="1"/>
  <c r="K67" i="1" s="1"/>
  <c r="AK9" i="14" l="1"/>
  <c r="AL9" i="12"/>
  <c r="AL9" i="14" s="1"/>
  <c r="AK11" i="12"/>
  <c r="AJ24" i="12" s="1"/>
  <c r="AK10" i="14"/>
  <c r="AL10" i="12"/>
  <c r="AL10" i="14" s="1"/>
  <c r="AH20" i="14" s="1"/>
  <c r="AH24" i="12"/>
  <c r="AP3" i="1"/>
  <c r="AL30" i="1"/>
  <c r="AL40" i="1" s="1"/>
  <c r="L117" i="1" s="1"/>
  <c r="AO3" i="1"/>
  <c r="AK30" i="1"/>
  <c r="AK40" i="1" s="1"/>
  <c r="L92" i="1" s="1"/>
  <c r="AQ3" i="1"/>
  <c r="AM30" i="1"/>
  <c r="AM40" i="1" s="1"/>
  <c r="L142" i="1" s="1"/>
  <c r="AN3" i="1"/>
  <c r="AJ30" i="1"/>
  <c r="AJ40" i="1" s="1"/>
  <c r="L67" i="1" s="1"/>
  <c r="AN2" i="1"/>
  <c r="AJ29" i="1"/>
  <c r="AJ39" i="1" s="1"/>
  <c r="AH25" i="12" l="1"/>
  <c r="AI25" i="12"/>
  <c r="AK11" i="14"/>
  <c r="AH21" i="14" s="1"/>
  <c r="L41" i="13" s="1"/>
  <c r="AL11" i="12"/>
  <c r="AL11" i="14" s="1"/>
  <c r="AR3" i="1"/>
  <c r="AN30" i="1"/>
  <c r="AU3" i="1"/>
  <c r="AQ30" i="1"/>
  <c r="AS3" i="1"/>
  <c r="AO30" i="1"/>
  <c r="AR2" i="1"/>
  <c r="AN29" i="1"/>
  <c r="AN39" i="1" s="1"/>
  <c r="AT3" i="1"/>
  <c r="AP30" i="1"/>
  <c r="AJ25" i="12" l="1"/>
  <c r="L42" i="13"/>
  <c r="S78" i="1"/>
  <c r="R78" i="1"/>
  <c r="Q78" i="1"/>
  <c r="P78" i="1"/>
  <c r="O78" i="1"/>
  <c r="O88" i="1"/>
  <c r="P88" i="1"/>
  <c r="S88" i="1"/>
  <c r="R88" i="1"/>
  <c r="Q88" i="1"/>
  <c r="AO40" i="1"/>
  <c r="M92" i="1" s="1"/>
  <c r="N92" i="1" s="1"/>
  <c r="O92" i="1" s="1"/>
  <c r="AQ40" i="1"/>
  <c r="M142" i="1" s="1"/>
  <c r="N142" i="1" s="1"/>
  <c r="O142" i="1" s="1"/>
  <c r="AP40" i="1"/>
  <c r="M117" i="1" s="1"/>
  <c r="N117" i="1" s="1"/>
  <c r="O117" i="1" s="1"/>
  <c r="AN40" i="1"/>
  <c r="M67" i="1" s="1"/>
  <c r="N67" i="1" s="1"/>
  <c r="O67" i="1" s="1"/>
  <c r="AV3" i="1"/>
  <c r="AR30" i="1"/>
  <c r="AR40" i="1" s="1"/>
  <c r="AV2" i="1"/>
  <c r="AR29" i="1"/>
  <c r="AX3" i="1"/>
  <c r="AT30" i="1"/>
  <c r="AT40" i="1" s="1"/>
  <c r="AW3" i="1"/>
  <c r="AS30" i="1"/>
  <c r="AS40" i="1" s="1"/>
  <c r="AY3" i="1"/>
  <c r="AU30" i="1"/>
  <c r="AU40" i="1" s="1"/>
  <c r="AR39" i="1" l="1"/>
  <c r="N88" i="1"/>
  <c r="N78" i="1"/>
  <c r="P67" i="1"/>
  <c r="P117" i="1"/>
  <c r="P142" i="1"/>
  <c r="P92" i="1"/>
  <c r="BA3" i="1"/>
  <c r="AW30" i="1"/>
  <c r="AW40" i="1" s="1"/>
  <c r="BB3" i="1"/>
  <c r="AX30" i="1"/>
  <c r="AX40" i="1" s="1"/>
  <c r="BC3" i="1"/>
  <c r="AY30" i="1"/>
  <c r="AY40" i="1" s="1"/>
  <c r="AZ2" i="1"/>
  <c r="AV29" i="1"/>
  <c r="AZ3" i="1"/>
  <c r="AV30" i="1"/>
  <c r="AV40" i="1" s="1"/>
  <c r="AT221" i="1" l="1"/>
  <c r="AT189" i="1" s="1"/>
  <c r="AR221" i="1"/>
  <c r="AR189" i="1" s="1"/>
  <c r="AS220" i="1"/>
  <c r="AS188" i="1" s="1"/>
  <c r="AT219" i="1"/>
  <c r="AT187" i="1" s="1"/>
  <c r="AR219" i="1"/>
  <c r="AR187" i="1" s="1"/>
  <c r="AS218" i="1"/>
  <c r="AS186" i="1" s="1"/>
  <c r="AT217" i="1"/>
  <c r="AT185" i="1" s="1"/>
  <c r="AR217" i="1"/>
  <c r="AR185" i="1" s="1"/>
  <c r="AS216" i="1"/>
  <c r="AS184" i="1" s="1"/>
  <c r="AT215" i="1"/>
  <c r="AT183" i="1" s="1"/>
  <c r="AR215" i="1"/>
  <c r="AR183" i="1" s="1"/>
  <c r="AT212" i="1"/>
  <c r="AT180" i="1" s="1"/>
  <c r="AR212" i="1"/>
  <c r="AR180" i="1" s="1"/>
  <c r="AS221" i="1"/>
  <c r="AS189" i="1" s="1"/>
  <c r="AR220" i="1"/>
  <c r="AR188" i="1" s="1"/>
  <c r="AS219" i="1"/>
  <c r="AS187" i="1" s="1"/>
  <c r="AR218" i="1"/>
  <c r="AR186" i="1" s="1"/>
  <c r="AS217" i="1"/>
  <c r="AS185" i="1" s="1"/>
  <c r="AR216" i="1"/>
  <c r="AR184" i="1" s="1"/>
  <c r="AS215" i="1"/>
  <c r="AS183" i="1" s="1"/>
  <c r="AT211" i="1"/>
  <c r="AT179" i="1" s="1"/>
  <c r="AR211" i="1"/>
  <c r="AR179" i="1" s="1"/>
  <c r="AS210" i="1"/>
  <c r="AS178" i="1" s="1"/>
  <c r="AT209" i="1"/>
  <c r="AT177" i="1" s="1"/>
  <c r="AR209" i="1"/>
  <c r="AR177" i="1" s="1"/>
  <c r="AS208" i="1"/>
  <c r="AS176" i="1" s="1"/>
  <c r="AT207" i="1"/>
  <c r="AT175" i="1" s="1"/>
  <c r="AR207" i="1"/>
  <c r="AR175" i="1" s="1"/>
  <c r="AT220" i="1"/>
  <c r="AT188" i="1" s="1"/>
  <c r="AT218" i="1"/>
  <c r="AT186" i="1" s="1"/>
  <c r="AT216" i="1"/>
  <c r="AT184" i="1" s="1"/>
  <c r="AS212" i="1"/>
  <c r="AS180" i="1" s="1"/>
  <c r="AT210" i="1"/>
  <c r="AT178" i="1" s="1"/>
  <c r="AT208" i="1"/>
  <c r="AT176" i="1" s="1"/>
  <c r="AS206" i="1"/>
  <c r="AS174" i="1" s="1"/>
  <c r="AT205" i="1"/>
  <c r="AT173" i="1" s="1"/>
  <c r="AR205" i="1"/>
  <c r="AR173" i="1" s="1"/>
  <c r="AS204" i="1"/>
  <c r="AS172" i="1" s="1"/>
  <c r="AT203" i="1"/>
  <c r="AT171" i="1" s="1"/>
  <c r="AR203" i="1"/>
  <c r="AR171" i="1" s="1"/>
  <c r="AS211" i="1"/>
  <c r="AS179" i="1" s="1"/>
  <c r="AR210" i="1"/>
  <c r="AR178" i="1" s="1"/>
  <c r="AS209" i="1"/>
  <c r="AS177" i="1" s="1"/>
  <c r="AR208" i="1"/>
  <c r="AR176" i="1" s="1"/>
  <c r="AS207" i="1"/>
  <c r="AS175" i="1" s="1"/>
  <c r="AT206" i="1"/>
  <c r="AT174" i="1" s="1"/>
  <c r="AT204" i="1"/>
  <c r="AT172" i="1" s="1"/>
  <c r="AR206" i="1"/>
  <c r="AR174" i="1" s="1"/>
  <c r="AS205" i="1"/>
  <c r="AS173" i="1" s="1"/>
  <c r="AR204" i="1"/>
  <c r="AR172" i="1" s="1"/>
  <c r="AS203" i="1"/>
  <c r="AS171" i="1" s="1"/>
  <c r="AV39" i="1"/>
  <c r="Q92" i="1"/>
  <c r="Q142" i="1"/>
  <c r="Q117" i="1"/>
  <c r="Q67" i="1"/>
  <c r="BE3" i="1"/>
  <c r="BA30" i="1"/>
  <c r="BA40" i="1" s="1"/>
  <c r="BD3" i="1"/>
  <c r="AZ30" i="1"/>
  <c r="AZ40" i="1" s="1"/>
  <c r="BD2" i="1"/>
  <c r="AZ29" i="1"/>
  <c r="BG3" i="1"/>
  <c r="BC30" i="1"/>
  <c r="BC40" i="1" s="1"/>
  <c r="BF3" i="1"/>
  <c r="BB30" i="1"/>
  <c r="BB40" i="1" s="1"/>
  <c r="AT26" i="1" l="1"/>
  <c r="AS26" i="1"/>
  <c r="AR26" i="1"/>
  <c r="AW221" i="1"/>
  <c r="AW189" i="1" s="1"/>
  <c r="AX220" i="1"/>
  <c r="AX188" i="1" s="1"/>
  <c r="AV220" i="1"/>
  <c r="AV188" i="1" s="1"/>
  <c r="AW219" i="1"/>
  <c r="AW187" i="1" s="1"/>
  <c r="AX218" i="1"/>
  <c r="AX186" i="1" s="1"/>
  <c r="AV218" i="1"/>
  <c r="AV186" i="1" s="1"/>
  <c r="AW217" i="1"/>
  <c r="AW185" i="1" s="1"/>
  <c r="AX216" i="1"/>
  <c r="AX184" i="1" s="1"/>
  <c r="AV216" i="1"/>
  <c r="AV184" i="1" s="1"/>
  <c r="AW215" i="1"/>
  <c r="AW183" i="1" s="1"/>
  <c r="AW212" i="1"/>
  <c r="AW180" i="1" s="1"/>
  <c r="AX221" i="1"/>
  <c r="AX189" i="1" s="1"/>
  <c r="AW220" i="1"/>
  <c r="AW188" i="1" s="1"/>
  <c r="AX219" i="1"/>
  <c r="AX187" i="1" s="1"/>
  <c r="AW218" i="1"/>
  <c r="AW186" i="1" s="1"/>
  <c r="AX217" i="1"/>
  <c r="AX185" i="1" s="1"/>
  <c r="AW216" i="1"/>
  <c r="AW184" i="1" s="1"/>
  <c r="AX215" i="1"/>
  <c r="AX183" i="1" s="1"/>
  <c r="AV212" i="1"/>
  <c r="AV180" i="1" s="1"/>
  <c r="AW211" i="1"/>
  <c r="AW179" i="1" s="1"/>
  <c r="AX210" i="1"/>
  <c r="AX178" i="1" s="1"/>
  <c r="AV210" i="1"/>
  <c r="AV178" i="1" s="1"/>
  <c r="AW209" i="1"/>
  <c r="AW177" i="1" s="1"/>
  <c r="AX208" i="1"/>
  <c r="AX176" i="1" s="1"/>
  <c r="AV208" i="1"/>
  <c r="AV176" i="1" s="1"/>
  <c r="AW207" i="1"/>
  <c r="AW175" i="1" s="1"/>
  <c r="AV211" i="1"/>
  <c r="AV179" i="1" s="1"/>
  <c r="AV209" i="1"/>
  <c r="AV177" i="1" s="1"/>
  <c r="AV207" i="1"/>
  <c r="AV175" i="1" s="1"/>
  <c r="AX206" i="1"/>
  <c r="AX174" i="1" s="1"/>
  <c r="AV206" i="1"/>
  <c r="AV174" i="1" s="1"/>
  <c r="AW205" i="1"/>
  <c r="AW173" i="1" s="1"/>
  <c r="AX204" i="1"/>
  <c r="AX172" i="1" s="1"/>
  <c r="AV204" i="1"/>
  <c r="AV172" i="1" s="1"/>
  <c r="AW203" i="1"/>
  <c r="AW171" i="1" s="1"/>
  <c r="AV221" i="1"/>
  <c r="AV189" i="1" s="1"/>
  <c r="AV219" i="1"/>
  <c r="AV187" i="1" s="1"/>
  <c r="AV217" i="1"/>
  <c r="AV185" i="1" s="1"/>
  <c r="AV215" i="1"/>
  <c r="AV183" i="1" s="1"/>
  <c r="AX212" i="1"/>
  <c r="AX180" i="1" s="1"/>
  <c r="AV205" i="1"/>
  <c r="AV173" i="1" s="1"/>
  <c r="AV203" i="1"/>
  <c r="AX211" i="1"/>
  <c r="AX179" i="1" s="1"/>
  <c r="AW210" i="1"/>
  <c r="AW178" i="1" s="1"/>
  <c r="AX209" i="1"/>
  <c r="AX177" i="1" s="1"/>
  <c r="AW208" i="1"/>
  <c r="AW176" i="1" s="1"/>
  <c r="AX207" i="1"/>
  <c r="AX175" i="1" s="1"/>
  <c r="AW206" i="1"/>
  <c r="AW174" i="1" s="1"/>
  <c r="AX205" i="1"/>
  <c r="AX173" i="1" s="1"/>
  <c r="AW204" i="1"/>
  <c r="AW172" i="1" s="1"/>
  <c r="AX203" i="1"/>
  <c r="AX171" i="1" s="1"/>
  <c r="AR192" i="1"/>
  <c r="AS192" i="1"/>
  <c r="AT192" i="1"/>
  <c r="AZ39" i="1"/>
  <c r="AX14" i="1"/>
  <c r="AV12" i="1"/>
  <c r="AW9" i="1"/>
  <c r="AX6" i="1"/>
  <c r="AX13" i="1"/>
  <c r="AV11" i="1"/>
  <c r="AW8" i="1"/>
  <c r="AX12" i="1"/>
  <c r="AV10" i="1"/>
  <c r="AW7" i="1"/>
  <c r="AX10" i="1"/>
  <c r="AW6" i="1"/>
  <c r="AW14" i="1"/>
  <c r="AW10" i="1"/>
  <c r="AV6" i="1"/>
  <c r="AV14" i="1"/>
  <c r="AX9" i="1"/>
  <c r="AV7" i="1"/>
  <c r="AW13" i="1"/>
  <c r="AV9" i="1"/>
  <c r="AW12" i="1"/>
  <c r="AV13" i="1"/>
  <c r="AX8" i="1"/>
  <c r="AV8" i="1"/>
  <c r="AX11" i="1"/>
  <c r="AX7" i="1"/>
  <c r="AW11" i="1"/>
  <c r="R67" i="1"/>
  <c r="R117" i="1"/>
  <c r="R142" i="1"/>
  <c r="R92" i="1"/>
  <c r="BK3" i="1"/>
  <c r="BG30" i="1"/>
  <c r="BG40" i="1" s="1"/>
  <c r="BH3" i="1"/>
  <c r="BD30" i="1"/>
  <c r="BD40" i="1" s="1"/>
  <c r="BH2" i="1"/>
  <c r="BD29" i="1"/>
  <c r="BJ3" i="1"/>
  <c r="BF30" i="1"/>
  <c r="BF40" i="1" s="1"/>
  <c r="BI3" i="1"/>
  <c r="BE30" i="1"/>
  <c r="BE40" i="1" s="1"/>
  <c r="AY8" i="1" l="1"/>
  <c r="AY13" i="1"/>
  <c r="AY14" i="1"/>
  <c r="AY7" i="1"/>
  <c r="AY10" i="1"/>
  <c r="AY11" i="1"/>
  <c r="AY12" i="1"/>
  <c r="AY9" i="1"/>
  <c r="AY6" i="1"/>
  <c r="AV52" i="1"/>
  <c r="AV5" i="1"/>
  <c r="AW5" i="1"/>
  <c r="AW15" i="1" s="1"/>
  <c r="AW52" i="1"/>
  <c r="AV61" i="1"/>
  <c r="AX52" i="1"/>
  <c r="AX5" i="1"/>
  <c r="AX15" i="1" s="1"/>
  <c r="AX61" i="1"/>
  <c r="AV171" i="1"/>
  <c r="AV192" i="1" s="1"/>
  <c r="AW61" i="1"/>
  <c r="AW26" i="1"/>
  <c r="AX192" i="1"/>
  <c r="AW192" i="1"/>
  <c r="BB221" i="1"/>
  <c r="AZ221" i="1"/>
  <c r="BA220" i="1"/>
  <c r="BB219" i="1"/>
  <c r="AZ219" i="1"/>
  <c r="BA218" i="1"/>
  <c r="BB217" i="1"/>
  <c r="AZ217" i="1"/>
  <c r="BA216" i="1"/>
  <c r="BB215" i="1"/>
  <c r="AZ215" i="1"/>
  <c r="BB212" i="1"/>
  <c r="AZ212" i="1"/>
  <c r="BA211" i="1"/>
  <c r="BB220" i="1"/>
  <c r="BB218" i="1"/>
  <c r="BB216" i="1"/>
  <c r="BA212" i="1"/>
  <c r="AZ211" i="1"/>
  <c r="BA210" i="1"/>
  <c r="BB209" i="1"/>
  <c r="AZ209" i="1"/>
  <c r="BA208" i="1"/>
  <c r="BB207" i="1"/>
  <c r="AZ207" i="1"/>
  <c r="BA221" i="1"/>
  <c r="BA219" i="1"/>
  <c r="BA217" i="1"/>
  <c r="BA215" i="1"/>
  <c r="BB211" i="1"/>
  <c r="AZ210" i="1"/>
  <c r="BA209" i="1"/>
  <c r="AZ208" i="1"/>
  <c r="BA207" i="1"/>
  <c r="BA206" i="1"/>
  <c r="BB205" i="1"/>
  <c r="AZ205" i="1"/>
  <c r="BA204" i="1"/>
  <c r="BB203" i="1"/>
  <c r="AZ203" i="1"/>
  <c r="BB210" i="1"/>
  <c r="BB208" i="1"/>
  <c r="AZ206" i="1"/>
  <c r="BA205" i="1"/>
  <c r="AZ204" i="1"/>
  <c r="BA203" i="1"/>
  <c r="AZ220" i="1"/>
  <c r="AZ218" i="1"/>
  <c r="AZ216" i="1"/>
  <c r="BB206" i="1"/>
  <c r="BB204" i="1"/>
  <c r="BD39" i="1"/>
  <c r="S92" i="1"/>
  <c r="S142" i="1"/>
  <c r="S117" i="1"/>
  <c r="S67" i="1"/>
  <c r="BN3" i="1"/>
  <c r="BN30" i="1" s="1"/>
  <c r="BN40" i="1" s="1"/>
  <c r="BJ30" i="1"/>
  <c r="BJ40" i="1" s="1"/>
  <c r="BL2" i="1"/>
  <c r="BL29" i="1" s="1"/>
  <c r="BH29" i="1"/>
  <c r="BL3" i="1"/>
  <c r="BH30" i="1"/>
  <c r="BH40" i="1" s="1"/>
  <c r="BM3" i="1"/>
  <c r="BM30" i="1" s="1"/>
  <c r="BM40" i="1" s="1"/>
  <c r="BI30" i="1"/>
  <c r="BI40" i="1" s="1"/>
  <c r="BO3" i="1"/>
  <c r="BO30" i="1" s="1"/>
  <c r="BO40" i="1" s="1"/>
  <c r="BK30" i="1"/>
  <c r="BK40" i="1" s="1"/>
  <c r="CF21" i="6"/>
  <c r="AX26" i="1" l="1"/>
  <c r="AV26" i="1"/>
  <c r="AY5" i="1"/>
  <c r="AY26" i="1" s="1"/>
  <c r="AV15" i="1"/>
  <c r="AY15" i="1" s="1"/>
  <c r="BB26" i="1"/>
  <c r="AZ26" i="1"/>
  <c r="BA26" i="1"/>
  <c r="BB192" i="1"/>
  <c r="BA192" i="1"/>
  <c r="BE221" i="1"/>
  <c r="BF220" i="1"/>
  <c r="BD220" i="1"/>
  <c r="BE219" i="1"/>
  <c r="BF218" i="1"/>
  <c r="BD218" i="1"/>
  <c r="BE217" i="1"/>
  <c r="BF216" i="1"/>
  <c r="BD216" i="1"/>
  <c r="BE215" i="1"/>
  <c r="BE212" i="1"/>
  <c r="BF211" i="1"/>
  <c r="BD211" i="1"/>
  <c r="BD221" i="1"/>
  <c r="BD219" i="1"/>
  <c r="BD217" i="1"/>
  <c r="BD215" i="1"/>
  <c r="BF212" i="1"/>
  <c r="BE211" i="1"/>
  <c r="BF210" i="1"/>
  <c r="BD210" i="1"/>
  <c r="BE209" i="1"/>
  <c r="BF208" i="1"/>
  <c r="BD208" i="1"/>
  <c r="BE207" i="1"/>
  <c r="BE220" i="1"/>
  <c r="BE218" i="1"/>
  <c r="BE216" i="1"/>
  <c r="BD212" i="1"/>
  <c r="BE210" i="1"/>
  <c r="BF209" i="1"/>
  <c r="BE208" i="1"/>
  <c r="BF207" i="1"/>
  <c r="BF206" i="1"/>
  <c r="BD206" i="1"/>
  <c r="BE205" i="1"/>
  <c r="BF204" i="1"/>
  <c r="BD204" i="1"/>
  <c r="BE203" i="1"/>
  <c r="BE192" i="1" s="1"/>
  <c r="BD209" i="1"/>
  <c r="BD207" i="1"/>
  <c r="BE206" i="1"/>
  <c r="BF205" i="1"/>
  <c r="BE204" i="1"/>
  <c r="BF203" i="1"/>
  <c r="BF221" i="1"/>
  <c r="BF219" i="1"/>
  <c r="BF217" i="1"/>
  <c r="BF215" i="1"/>
  <c r="BD205" i="1"/>
  <c r="BD203" i="1"/>
  <c r="BD192" i="1" s="1"/>
  <c r="AZ192" i="1"/>
  <c r="BL39" i="1"/>
  <c r="BL30" i="1"/>
  <c r="BL40" i="1" s="1"/>
  <c r="BH39" i="1"/>
  <c r="CX21" i="6"/>
  <c r="BF26" i="1" l="1"/>
  <c r="BE26" i="1"/>
  <c r="BD26" i="1"/>
  <c r="BJ221" i="1"/>
  <c r="BH221" i="1"/>
  <c r="BI220" i="1"/>
  <c r="BJ219" i="1"/>
  <c r="BH219" i="1"/>
  <c r="BI218" i="1"/>
  <c r="BJ217" i="1"/>
  <c r="BH217" i="1"/>
  <c r="BI216" i="1"/>
  <c r="BJ215" i="1"/>
  <c r="BH215" i="1"/>
  <c r="BJ212" i="1"/>
  <c r="BH212" i="1"/>
  <c r="BI211" i="1"/>
  <c r="BI221" i="1"/>
  <c r="BH220" i="1"/>
  <c r="BI219" i="1"/>
  <c r="BH218" i="1"/>
  <c r="BI217" i="1"/>
  <c r="BH216" i="1"/>
  <c r="BI215" i="1"/>
  <c r="BJ211" i="1"/>
  <c r="BI210" i="1"/>
  <c r="BJ209" i="1"/>
  <c r="BH209" i="1"/>
  <c r="BI208" i="1"/>
  <c r="BJ207" i="1"/>
  <c r="BH207" i="1"/>
  <c r="BI206" i="1"/>
  <c r="BJ210" i="1"/>
  <c r="BJ208" i="1"/>
  <c r="BJ206" i="1"/>
  <c r="BJ205" i="1"/>
  <c r="BH205" i="1"/>
  <c r="BI204" i="1"/>
  <c r="BJ203" i="1"/>
  <c r="BH203" i="1"/>
  <c r="BJ220" i="1"/>
  <c r="BJ218" i="1"/>
  <c r="BJ216" i="1"/>
  <c r="BH211" i="1"/>
  <c r="BJ204" i="1"/>
  <c r="BI212" i="1"/>
  <c r="BH210" i="1"/>
  <c r="BI209" i="1"/>
  <c r="BH208" i="1"/>
  <c r="BI207" i="1"/>
  <c r="BH206" i="1"/>
  <c r="BI205" i="1"/>
  <c r="BH204" i="1"/>
  <c r="BI203" i="1"/>
  <c r="BM221" i="1"/>
  <c r="BN220" i="1"/>
  <c r="BL220" i="1"/>
  <c r="BM219" i="1"/>
  <c r="BN218" i="1"/>
  <c r="BL218" i="1"/>
  <c r="BM217" i="1"/>
  <c r="BN216" i="1"/>
  <c r="BL216" i="1"/>
  <c r="BM215" i="1"/>
  <c r="BM212" i="1"/>
  <c r="BN211" i="1"/>
  <c r="BL211" i="1"/>
  <c r="BN221" i="1"/>
  <c r="BM220" i="1"/>
  <c r="BN219" i="1"/>
  <c r="BM218" i="1"/>
  <c r="BN217" i="1"/>
  <c r="BM216" i="1"/>
  <c r="BN215" i="1"/>
  <c r="BL212" i="1"/>
  <c r="BN210" i="1"/>
  <c r="BL210" i="1"/>
  <c r="BM209" i="1"/>
  <c r="BN208" i="1"/>
  <c r="BL208" i="1"/>
  <c r="BM207" i="1"/>
  <c r="BN206" i="1"/>
  <c r="BL206" i="1"/>
  <c r="BL221" i="1"/>
  <c r="BL219" i="1"/>
  <c r="BL217" i="1"/>
  <c r="BL215" i="1"/>
  <c r="BN212" i="1"/>
  <c r="BM211" i="1"/>
  <c r="BL209" i="1"/>
  <c r="BL207" i="1"/>
  <c r="BM205" i="1"/>
  <c r="BN204" i="1"/>
  <c r="BL204" i="1"/>
  <c r="BM203" i="1"/>
  <c r="BM210" i="1"/>
  <c r="BN209" i="1"/>
  <c r="BM208" i="1"/>
  <c r="BN207" i="1"/>
  <c r="BM206" i="1"/>
  <c r="BL205" i="1"/>
  <c r="BL203" i="1"/>
  <c r="BN205" i="1"/>
  <c r="BM204" i="1"/>
  <c r="BN203" i="1"/>
  <c r="BF192" i="1"/>
  <c r="BL192" i="1" l="1"/>
  <c r="BM26" i="1"/>
  <c r="BL26" i="1"/>
  <c r="BN26" i="1"/>
  <c r="BI26" i="1"/>
  <c r="BJ26" i="1"/>
  <c r="BH26" i="1"/>
  <c r="BN192" i="1"/>
  <c r="BM192" i="1"/>
  <c r="BJ192" i="1"/>
  <c r="BH192" i="1"/>
  <c r="BI19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Otthoni</author>
  </authors>
  <commentList>
    <comment ref="E26" authorId="0" shapeId="0" xr:uid="{C512889E-9F44-481C-9351-B16F6D6CBD87}">
      <text>
        <r>
          <rPr>
            <b/>
            <sz val="9"/>
            <color indexed="81"/>
            <rFont val="Tahoma"/>
            <charset val="1"/>
          </rPr>
          <t>ÁKM adattár 'ÁKM10KORR' B10:BN74 (aggregálva UMD szerint)</t>
        </r>
      </text>
    </comment>
    <comment ref="G26" authorId="0" shapeId="0" xr:uid="{77CEE237-65E0-49E7-B149-9FF2E59617E9}">
      <text>
        <r>
          <rPr>
            <b/>
            <sz val="9"/>
            <color indexed="81"/>
            <rFont val="Tahoma"/>
            <charset val="1"/>
          </rPr>
          <t>ÁKM adattár 'ÁKM10KORR' BS10:BS74 (aggregálva UMD szerint)</t>
        </r>
      </text>
    </comment>
    <comment ref="H26" authorId="0" shapeId="0" xr:uid="{370224F8-9C0D-4FBC-B14F-B12D08A4FCA0}">
      <text>
        <r>
          <rPr>
            <b/>
            <sz val="9"/>
            <color indexed="81"/>
            <rFont val="Tahoma"/>
            <charset val="1"/>
          </rPr>
          <t>ÁKM adattár 'ÁKM10KORR' BW10:BW74
(aggregálva UMD szerint)</t>
        </r>
      </text>
    </comment>
    <comment ref="I26" authorId="0" shapeId="0" xr:uid="{ADC3AB92-FAFD-4086-91E1-9E4A5D3D4AAC}">
      <text>
        <r>
          <rPr>
            <b/>
            <sz val="9"/>
            <color indexed="81"/>
            <rFont val="Tahoma"/>
            <charset val="1"/>
          </rPr>
          <t>ÁKM adattár 'ÁKM10KORR' BZ10:BZ74
(aggregálva UMD szerint)</t>
        </r>
      </text>
    </comment>
    <comment ref="T26" authorId="0" shapeId="0" xr:uid="{2ACA42DD-84BA-4678-850C-9BC7FB6AD4F2}">
      <text>
        <r>
          <rPr>
            <b/>
            <sz val="9"/>
            <color indexed="81"/>
            <rFont val="Tahoma"/>
            <family val="2"/>
            <charset val="238"/>
          </rPr>
          <t xml:space="preserve">2010-es arányok korrigálva a 2011-es Peremszámok végső felhasználási adataival </t>
        </r>
      </text>
    </comment>
    <comment ref="AC26" authorId="0" shapeId="0" xr:uid="{371F62C6-50D0-4510-AEB3-B51B4CA39811}">
      <text>
        <r>
          <rPr>
            <b/>
            <sz val="9"/>
            <color indexed="81"/>
            <rFont val="Tahoma"/>
            <family val="2"/>
            <charset val="238"/>
          </rPr>
          <t xml:space="preserve">2010-es arányok korrigálva a 2012-es Peremszámok végső felhasználási adataival </t>
        </r>
      </text>
    </comment>
    <comment ref="AL26" authorId="0" shapeId="0" xr:uid="{1EAE224D-0711-4A4F-A5F2-1BA6861C8CA7}">
      <text>
        <r>
          <rPr>
            <b/>
            <sz val="9"/>
            <color indexed="81"/>
            <rFont val="Tahoma"/>
            <family val="2"/>
            <charset val="238"/>
          </rPr>
          <t xml:space="preserve">2015-ös arányok korrigálva a 2013-as Peremszámok végső felhasználási adataival </t>
        </r>
      </text>
    </comment>
    <comment ref="AU26" authorId="0" shapeId="0" xr:uid="{1457BAA2-A307-4BA0-BF78-A812B9B957A2}">
      <text>
        <r>
          <rPr>
            <b/>
            <sz val="9"/>
            <color indexed="81"/>
            <rFont val="Tahoma"/>
            <family val="2"/>
            <charset val="238"/>
          </rPr>
          <t xml:space="preserve">2015-ös arányok korrigálva a 2014-es Peremszámok végső felhasználási adataival </t>
        </r>
      </text>
    </comment>
    <comment ref="AX26" authorId="0" shapeId="0" xr:uid="{95481239-DE5F-4CC2-8AE1-43A7D07143EC}">
      <text>
        <r>
          <rPr>
            <b/>
            <sz val="9"/>
            <color indexed="81"/>
            <rFont val="Tahoma"/>
            <charset val="1"/>
          </rPr>
          <t>ÁKM adattár 'ÁKM15KORR' B10:BN74 (aggregálva UMD szerint)</t>
        </r>
      </text>
    </comment>
    <comment ref="AZ26" authorId="0" shapeId="0" xr:uid="{33102CAE-6350-473E-B9AF-1B34191F8ADA}">
      <text>
        <r>
          <rPr>
            <b/>
            <sz val="9"/>
            <color indexed="81"/>
            <rFont val="Tahoma"/>
            <charset val="1"/>
          </rPr>
          <t>ÁKM adattár 'ÁKM15KORR' BS10:BS74 (aggregálva UMD szerint)</t>
        </r>
      </text>
    </comment>
    <comment ref="BA26" authorId="0" shapeId="0" xr:uid="{7C252032-6E7F-45BA-836F-A9A2D9E9D79C}">
      <text>
        <r>
          <rPr>
            <b/>
            <sz val="9"/>
            <color indexed="81"/>
            <rFont val="Tahoma"/>
            <charset val="1"/>
          </rPr>
          <t>ÁKM adattár 'ÁKM15KORR' BW10:BW74
(aggregálva UMD szerint)</t>
        </r>
      </text>
    </comment>
    <comment ref="BB26" authorId="0" shapeId="0" xr:uid="{66F5E9FA-780C-4F6E-8565-580BDD2F3F9A}">
      <text>
        <r>
          <rPr>
            <b/>
            <sz val="9"/>
            <color indexed="81"/>
            <rFont val="Tahoma"/>
            <charset val="1"/>
          </rPr>
          <t>ÁKM adattár 'ÁKM15KORR' BZ10:BZ74
(aggregálva UMD szerint)</t>
        </r>
      </text>
    </comment>
    <comment ref="BM26" authorId="0" shapeId="0" xr:uid="{038BD97E-0D89-4EDF-8902-B8A66D95C784}">
      <text>
        <r>
          <rPr>
            <b/>
            <sz val="9"/>
            <color indexed="81"/>
            <rFont val="Tahoma"/>
            <family val="2"/>
            <charset val="238"/>
          </rPr>
          <t xml:space="preserve">2015-ös arányok korrigálva a 2016-os Peremszámok végső felhasználási adataival </t>
        </r>
      </text>
    </comment>
    <comment ref="BV26" authorId="0" shapeId="0" xr:uid="{F13DAB8B-7F7A-4DAD-B10C-E3D324305029}">
      <text>
        <r>
          <rPr>
            <b/>
            <sz val="9"/>
            <color indexed="81"/>
            <rFont val="Tahoma"/>
            <family val="2"/>
            <charset val="238"/>
          </rPr>
          <t xml:space="preserve">2015-ös arányok korrigálva a 2017-es Peremszámok végső felhasználási adataival </t>
        </r>
      </text>
    </comment>
    <comment ref="CE26" authorId="0" shapeId="0" xr:uid="{73AA5B2E-1223-42E5-B6F1-8A2CA8E9142F}">
      <text>
        <r>
          <rPr>
            <b/>
            <sz val="9"/>
            <color indexed="81"/>
            <rFont val="Tahoma"/>
            <family val="2"/>
            <charset val="238"/>
          </rPr>
          <t xml:space="preserve">2020-as arányok korrigálva a 2018-es Peremszámok végső felhasználási adataival </t>
        </r>
      </text>
    </comment>
    <comment ref="CN26" authorId="0" shapeId="0" xr:uid="{86434731-5C84-4924-92BE-F67C7B1E263D}">
      <text>
        <r>
          <rPr>
            <b/>
            <sz val="9"/>
            <color indexed="81"/>
            <rFont val="Tahoma"/>
            <family val="2"/>
            <charset val="238"/>
          </rPr>
          <t xml:space="preserve">2020-as arányok korrigálva a 2019-es Peremszámok végső felhasználási adataival </t>
        </r>
      </text>
    </comment>
    <comment ref="CQ26" authorId="0" shapeId="0" xr:uid="{B0C626A6-22C3-4EB1-9BCF-EB059F8F27C5}">
      <text>
        <r>
          <rPr>
            <b/>
            <sz val="9"/>
            <color indexed="81"/>
            <rFont val="Tahoma"/>
            <charset val="1"/>
          </rPr>
          <t>ÁKM adattár 'ÁKM20KORR' B10:BN74 (aggregálva UMD szerint)</t>
        </r>
      </text>
    </comment>
    <comment ref="CS26" authorId="0" shapeId="0" xr:uid="{6BB76A09-6A09-4BE5-AFBB-1679D7BB6832}">
      <text>
        <r>
          <rPr>
            <b/>
            <sz val="9"/>
            <color indexed="81"/>
            <rFont val="Tahoma"/>
            <charset val="1"/>
          </rPr>
          <t>ÁKM adattár 'ÁKM20KORR' BS10:BS74 (aggregálva UMD szerint)</t>
        </r>
      </text>
    </comment>
    <comment ref="CT26" authorId="0" shapeId="0" xr:uid="{D69E370D-BB5D-45BA-8ACC-990CE34EC67C}">
      <text>
        <r>
          <rPr>
            <b/>
            <sz val="9"/>
            <color indexed="81"/>
            <rFont val="Tahoma"/>
            <charset val="1"/>
          </rPr>
          <t>ÁKM adattár 'ÁKM20KORR' BW10:BW74
(aggregálva UMD szerint)</t>
        </r>
      </text>
    </comment>
    <comment ref="CU26" authorId="0" shapeId="0" xr:uid="{0F3AEB93-BBA1-4A0D-A8DA-208FCD009DA3}">
      <text>
        <r>
          <rPr>
            <b/>
            <sz val="9"/>
            <color indexed="81"/>
            <rFont val="Tahoma"/>
            <charset val="1"/>
          </rPr>
          <t>ÁKM adattár 'ÁKM20KORR' BZ10:BZ74
(aggregálva UMD szerint)</t>
        </r>
      </text>
    </comment>
    <comment ref="DF26" authorId="0" shapeId="0" xr:uid="{358C106F-4B3F-424E-9631-E64EFBAAA258}">
      <text>
        <r>
          <rPr>
            <b/>
            <sz val="9"/>
            <color indexed="81"/>
            <rFont val="Tahoma"/>
            <family val="2"/>
            <charset val="238"/>
          </rPr>
          <t xml:space="preserve">2020-as arányok korrigálva a 2021-es Peremszámok végső felhasználási adataival </t>
        </r>
      </text>
    </comment>
    <comment ref="DO26" authorId="0" shapeId="0" xr:uid="{0A421745-767A-4F81-AEE9-746D3DB2B0C9}">
      <text>
        <r>
          <rPr>
            <b/>
            <sz val="9"/>
            <color indexed="81"/>
            <rFont val="Tahoma"/>
            <family val="2"/>
            <charset val="238"/>
          </rPr>
          <t xml:space="preserve">2020-as arányok korrigálva a 2022-es Peremszámok végső felhasználási adataival </t>
        </r>
      </text>
    </comment>
    <comment ref="DX26" authorId="0" shapeId="0" xr:uid="{85981E89-1800-4737-8DC8-2610AB6D2813}">
      <text>
        <r>
          <rPr>
            <b/>
            <sz val="9"/>
            <color indexed="81"/>
            <rFont val="Tahoma"/>
            <family val="2"/>
            <charset val="238"/>
          </rPr>
          <t xml:space="preserve">2020-as arányok korrigálva a 2023-as Peremszámok végső felhasználási adataival </t>
        </r>
      </text>
    </comment>
    <comment ref="EG26" authorId="0" shapeId="0" xr:uid="{A57C0585-870A-49A2-81E6-427B1B1BDFC7}">
      <text>
        <r>
          <rPr>
            <b/>
            <sz val="9"/>
            <color indexed="81"/>
            <rFont val="Tahoma"/>
            <family val="2"/>
            <charset val="238"/>
          </rPr>
          <t xml:space="preserve">2020-as arányok korrigálva a 2024-es Peremszámok végső felhasználási adataival </t>
        </r>
      </text>
    </comment>
    <comment ref="EP26" authorId="0" shapeId="0" xr:uid="{794BE248-3465-4693-B290-DA30A33A34C5}">
      <text>
        <r>
          <rPr>
            <b/>
            <sz val="9"/>
            <color indexed="81"/>
            <rFont val="Tahoma"/>
            <family val="2"/>
            <charset val="238"/>
          </rPr>
          <t xml:space="preserve">2020-as arányok korrigálva a 2025-ös Peremszámok végső felhasználási adataival </t>
        </r>
      </text>
    </comment>
    <comment ref="E30" authorId="0" shapeId="0" xr:uid="{65432F7C-B6EA-47B6-B811-AECF03B5166F}">
      <text>
        <r>
          <rPr>
            <b/>
            <sz val="9"/>
            <color indexed="81"/>
            <rFont val="Tahoma"/>
            <charset val="1"/>
          </rPr>
          <t>ÁKM adatár 'ÁKM10KORR' B76:BN76</t>
        </r>
      </text>
    </comment>
    <comment ref="G30" authorId="0" shapeId="0" xr:uid="{6541FDD9-2A0A-4BBD-8F3F-E4AB5090F968}">
      <text>
        <r>
          <rPr>
            <b/>
            <sz val="9"/>
            <color indexed="81"/>
            <rFont val="Tahoma"/>
            <charset val="1"/>
          </rPr>
          <t>ÁKM adattár 'ÁKM10KORR' BS76</t>
        </r>
      </text>
    </comment>
    <comment ref="H30" authorId="0" shapeId="0" xr:uid="{97728284-D698-4D3C-AC5D-934BD9584C28}">
      <text>
        <r>
          <rPr>
            <b/>
            <sz val="9"/>
            <color indexed="81"/>
            <rFont val="Tahoma"/>
            <charset val="1"/>
          </rPr>
          <t>ÁKM adattár 'ÁKM10KORR' BW76</t>
        </r>
      </text>
    </comment>
    <comment ref="I30" authorId="0" shapeId="0" xr:uid="{238A65E7-C257-46F0-9FA2-3C1F6126AB45}">
      <text>
        <r>
          <rPr>
            <b/>
            <sz val="9"/>
            <color indexed="81"/>
            <rFont val="Tahoma"/>
            <charset val="1"/>
          </rPr>
          <t>ÁKM adattár 'ÁKM10KORR' BZ76</t>
        </r>
      </text>
    </comment>
    <comment ref="AX30" authorId="0" shapeId="0" xr:uid="{62194E9C-3CA9-48CD-AF18-745F640AC48C}">
      <text>
        <r>
          <rPr>
            <b/>
            <sz val="9"/>
            <color indexed="81"/>
            <rFont val="Tahoma"/>
            <charset val="1"/>
          </rPr>
          <t>ÁKM adatár 'ÁKM15KORR' B76:BN76</t>
        </r>
      </text>
    </comment>
    <comment ref="AZ30" authorId="0" shapeId="0" xr:uid="{E1CA537A-3611-4AF4-AFA0-EA5B8B47E104}">
      <text>
        <r>
          <rPr>
            <b/>
            <sz val="9"/>
            <color indexed="81"/>
            <rFont val="Tahoma"/>
            <charset val="1"/>
          </rPr>
          <t>ÁKM adattár 'ÁKM15KORR' BS76</t>
        </r>
      </text>
    </comment>
    <comment ref="BA30" authorId="0" shapeId="0" xr:uid="{705D4DB8-3F5C-4947-8FF6-C76197E1A1FE}">
      <text>
        <r>
          <rPr>
            <b/>
            <sz val="9"/>
            <color indexed="81"/>
            <rFont val="Tahoma"/>
            <charset val="1"/>
          </rPr>
          <t>ÁKM adattár 'ÁKM15KORR' BW76</t>
        </r>
      </text>
    </comment>
    <comment ref="BB30" authorId="0" shapeId="0" xr:uid="{8FA671CE-BF91-47FA-95D6-7FF1C104C090}">
      <text>
        <r>
          <rPr>
            <b/>
            <sz val="9"/>
            <color indexed="81"/>
            <rFont val="Tahoma"/>
            <charset val="1"/>
          </rPr>
          <t>ÁKM adattár 'ÁKM15KORR' BZ76</t>
        </r>
      </text>
    </comment>
    <comment ref="CQ30" authorId="0" shapeId="0" xr:uid="{1F316B73-8ED6-4F98-8FCD-A975A1F751B3}">
      <text>
        <r>
          <rPr>
            <b/>
            <sz val="9"/>
            <color indexed="81"/>
            <rFont val="Tahoma"/>
            <charset val="1"/>
          </rPr>
          <t>ÁKM adatár 'ÁKM20KORR' B76:BN76</t>
        </r>
      </text>
    </comment>
    <comment ref="CS30" authorId="0" shapeId="0" xr:uid="{F058D239-3DA0-4D2C-92CD-F91193B16A6B}">
      <text>
        <r>
          <rPr>
            <b/>
            <sz val="9"/>
            <color indexed="81"/>
            <rFont val="Tahoma"/>
            <charset val="1"/>
          </rPr>
          <t>ÁKM adattár 'ÁKM20KORR' BS76</t>
        </r>
      </text>
    </comment>
    <comment ref="CT30" authorId="0" shapeId="0" xr:uid="{582EA7D5-F869-4171-B19D-F1FF985ECD3B}">
      <text>
        <r>
          <rPr>
            <b/>
            <sz val="9"/>
            <color indexed="81"/>
            <rFont val="Tahoma"/>
            <charset val="1"/>
          </rPr>
          <t>ÁKM adattár 'ÁKM20KORR' BW76</t>
        </r>
      </text>
    </comment>
    <comment ref="CU30" authorId="0" shapeId="0" xr:uid="{82789672-BC99-4E0C-B58E-63176A14F7CA}">
      <text>
        <r>
          <rPr>
            <b/>
            <sz val="9"/>
            <color indexed="81"/>
            <rFont val="Tahoma"/>
            <charset val="1"/>
          </rPr>
          <t>ÁKM adattár 'ÁKM20KORR' BZ76</t>
        </r>
      </text>
    </comment>
    <comment ref="E31" authorId="0" shapeId="0" xr:uid="{1F25D5DF-5127-4404-9F20-82BBBA062ADF}">
      <text>
        <r>
          <rPr>
            <b/>
            <sz val="9"/>
            <color indexed="81"/>
            <rFont val="Tahoma"/>
            <charset val="1"/>
          </rPr>
          <t>ÁKM adatár 'ÁKM10KORR' B77:BN77</t>
        </r>
      </text>
    </comment>
    <comment ref="G31" authorId="0" shapeId="0" xr:uid="{20FDD8C8-C85C-4F13-9552-B2500AC342C4}">
      <text>
        <r>
          <rPr>
            <b/>
            <sz val="9"/>
            <color indexed="81"/>
            <rFont val="Tahoma"/>
            <charset val="1"/>
          </rPr>
          <t>ÁKM adattár 'ÁKM10KORR' BS77</t>
        </r>
      </text>
    </comment>
    <comment ref="H31" authorId="0" shapeId="0" xr:uid="{B8017765-0B19-4C27-BF50-95BE38A64CAF}">
      <text>
        <r>
          <rPr>
            <b/>
            <sz val="9"/>
            <color indexed="81"/>
            <rFont val="Tahoma"/>
            <charset val="1"/>
          </rPr>
          <t>ÁKM adattár 'ÁKM10KORR' BW77</t>
        </r>
      </text>
    </comment>
    <comment ref="I31" authorId="0" shapeId="0" xr:uid="{E5823A02-81E0-47EB-B20B-15508A6D2E23}">
      <text>
        <r>
          <rPr>
            <b/>
            <sz val="9"/>
            <color indexed="81"/>
            <rFont val="Tahoma"/>
            <charset val="1"/>
          </rPr>
          <t>ÁKM adattár 'ÁKM10KORR' BZ77</t>
        </r>
      </text>
    </comment>
    <comment ref="AX31" authorId="0" shapeId="0" xr:uid="{EE57A010-9E2B-4E69-A26D-2E339B60CA1D}">
      <text>
        <r>
          <rPr>
            <b/>
            <sz val="9"/>
            <color indexed="81"/>
            <rFont val="Tahoma"/>
            <charset val="1"/>
          </rPr>
          <t>ÁKM adatár 'ÁKM15KORR' B77:BN77</t>
        </r>
      </text>
    </comment>
    <comment ref="AZ31" authorId="0" shapeId="0" xr:uid="{A73C5EAB-A045-4F67-90BC-5789C3A97BBD}">
      <text>
        <r>
          <rPr>
            <b/>
            <sz val="9"/>
            <color indexed="81"/>
            <rFont val="Tahoma"/>
            <charset val="1"/>
          </rPr>
          <t>ÁKM adattár 'ÁKM15KORR' BS77</t>
        </r>
      </text>
    </comment>
    <comment ref="BA31" authorId="0" shapeId="0" xr:uid="{8BE81804-FAC9-4A52-9C29-EFD1EED225A3}">
      <text>
        <r>
          <rPr>
            <b/>
            <sz val="9"/>
            <color indexed="81"/>
            <rFont val="Tahoma"/>
            <charset val="1"/>
          </rPr>
          <t>ÁKM adattár 'ÁKM15KORR' BW77</t>
        </r>
      </text>
    </comment>
    <comment ref="BB31" authorId="0" shapeId="0" xr:uid="{28C66ECB-2D36-45AA-976A-95C296E0A49C}">
      <text>
        <r>
          <rPr>
            <b/>
            <sz val="9"/>
            <color indexed="81"/>
            <rFont val="Tahoma"/>
            <charset val="1"/>
          </rPr>
          <t>ÁKM adattár 'ÁKM15KORR' BZ77</t>
        </r>
      </text>
    </comment>
    <comment ref="CQ31" authorId="0" shapeId="0" xr:uid="{33EC3A26-46D3-4F82-8796-AF42286AD428}">
      <text>
        <r>
          <rPr>
            <b/>
            <sz val="9"/>
            <color indexed="81"/>
            <rFont val="Tahoma"/>
            <charset val="1"/>
          </rPr>
          <t>ÁKM adatár 'ÁKM20KORR' B77:BN77</t>
        </r>
      </text>
    </comment>
    <comment ref="CS31" authorId="0" shapeId="0" xr:uid="{402B6BF3-9F0B-4AC3-925E-3C0A6EA759FF}">
      <text>
        <r>
          <rPr>
            <b/>
            <sz val="9"/>
            <color indexed="81"/>
            <rFont val="Tahoma"/>
            <charset val="1"/>
          </rPr>
          <t>ÁKM adattár 'ÁKM20KORR' BS77</t>
        </r>
      </text>
    </comment>
    <comment ref="CT31" authorId="0" shapeId="0" xr:uid="{268CAA0B-8BA3-4657-936B-88A3431591E5}">
      <text>
        <r>
          <rPr>
            <b/>
            <sz val="9"/>
            <color indexed="81"/>
            <rFont val="Tahoma"/>
            <charset val="1"/>
          </rPr>
          <t>ÁKM adattár 'ÁKM20KORR' BW77</t>
        </r>
      </text>
    </comment>
    <comment ref="CU31" authorId="0" shapeId="0" xr:uid="{206D067D-46E1-4D3F-B084-0097457BEDE1}">
      <text>
        <r>
          <rPr>
            <b/>
            <sz val="9"/>
            <color indexed="81"/>
            <rFont val="Tahoma"/>
            <charset val="1"/>
          </rPr>
          <t>ÁKM adattár 'ÁKM20KORR' BZ77</t>
        </r>
      </text>
    </comment>
    <comment ref="I32" authorId="0" shapeId="0" xr:uid="{1E4D55EA-9C4B-4323-B23F-91509CA3E42D}">
      <text>
        <r>
          <rPr>
            <b/>
            <sz val="9"/>
            <color indexed="81"/>
            <rFont val="Tahoma"/>
            <family val="2"/>
            <charset val="238"/>
          </rPr>
          <t>Peremszámok</t>
        </r>
      </text>
    </comment>
    <comment ref="R32" authorId="0" shapeId="0" xr:uid="{8DA926B0-8761-4DD1-BFF4-BBC21C22B80B}">
      <text>
        <r>
          <rPr>
            <b/>
            <sz val="9"/>
            <color indexed="81"/>
            <rFont val="Tahoma"/>
            <family val="2"/>
            <charset val="238"/>
          </rPr>
          <t>Peremszámok</t>
        </r>
      </text>
    </comment>
    <comment ref="AA32" authorId="0" shapeId="0" xr:uid="{1C7519ED-2720-4400-AD27-338788A597FC}">
      <text>
        <r>
          <rPr>
            <b/>
            <sz val="9"/>
            <color indexed="81"/>
            <rFont val="Tahoma"/>
            <family val="2"/>
            <charset val="238"/>
          </rPr>
          <t>Peremszámok</t>
        </r>
      </text>
    </comment>
    <comment ref="AJ32" authorId="0" shapeId="0" xr:uid="{8630C8C4-7739-4171-A99B-3B985EFC063F}">
      <text>
        <r>
          <rPr>
            <b/>
            <sz val="9"/>
            <color indexed="81"/>
            <rFont val="Tahoma"/>
            <family val="2"/>
            <charset val="238"/>
          </rPr>
          <t>Peremszámok</t>
        </r>
      </text>
    </comment>
    <comment ref="AS32" authorId="0" shapeId="0" xr:uid="{8511A12E-AAAA-498A-A09E-A537DF976C9C}">
      <text>
        <r>
          <rPr>
            <b/>
            <sz val="9"/>
            <color indexed="81"/>
            <rFont val="Tahoma"/>
            <family val="2"/>
            <charset val="238"/>
          </rPr>
          <t>Peremszámok</t>
        </r>
      </text>
    </comment>
    <comment ref="BB32" authorId="0" shapeId="0" xr:uid="{37F1227E-5675-4E20-B56F-3CECF5A4420E}">
      <text>
        <r>
          <rPr>
            <b/>
            <sz val="9"/>
            <color indexed="81"/>
            <rFont val="Tahoma"/>
            <family val="2"/>
            <charset val="238"/>
          </rPr>
          <t>Peremszámok</t>
        </r>
      </text>
    </comment>
    <comment ref="BK32" authorId="0" shapeId="0" xr:uid="{414CFE78-474A-4D58-91D2-1337B115E129}">
      <text>
        <r>
          <rPr>
            <b/>
            <sz val="9"/>
            <color indexed="81"/>
            <rFont val="Tahoma"/>
            <family val="2"/>
            <charset val="238"/>
          </rPr>
          <t>Peremszámok</t>
        </r>
      </text>
    </comment>
    <comment ref="BT32" authorId="0" shapeId="0" xr:uid="{2771EB61-B162-4E36-A215-B3CB0B7604A0}">
      <text>
        <r>
          <rPr>
            <b/>
            <sz val="9"/>
            <color indexed="81"/>
            <rFont val="Tahoma"/>
            <family val="2"/>
            <charset val="238"/>
          </rPr>
          <t>Peremszámok</t>
        </r>
      </text>
    </comment>
    <comment ref="CC32" authorId="0" shapeId="0" xr:uid="{B81BE831-28F2-4B32-8382-1500D40A8CB4}">
      <text>
        <r>
          <rPr>
            <b/>
            <sz val="9"/>
            <color indexed="81"/>
            <rFont val="Tahoma"/>
            <family val="2"/>
            <charset val="238"/>
          </rPr>
          <t>Peremszámok</t>
        </r>
      </text>
    </comment>
    <comment ref="CL32" authorId="0" shapeId="0" xr:uid="{141184F6-D2D1-4873-AE71-E157793AB8E0}">
      <text>
        <r>
          <rPr>
            <b/>
            <sz val="9"/>
            <color indexed="81"/>
            <rFont val="Tahoma"/>
            <family val="2"/>
            <charset val="238"/>
          </rPr>
          <t>Peremszámok</t>
        </r>
      </text>
    </comment>
    <comment ref="CU32" authorId="0" shapeId="0" xr:uid="{7D098D24-FA10-46CD-B7D9-43675E70F89F}">
      <text>
        <r>
          <rPr>
            <b/>
            <sz val="9"/>
            <color indexed="81"/>
            <rFont val="Tahoma"/>
            <family val="2"/>
            <charset val="238"/>
          </rPr>
          <t>Peremszámok</t>
        </r>
      </text>
    </comment>
    <comment ref="DD32" authorId="0" shapeId="0" xr:uid="{16207058-0986-4C09-8526-97FF253B6039}">
      <text>
        <r>
          <rPr>
            <b/>
            <sz val="9"/>
            <color indexed="81"/>
            <rFont val="Tahoma"/>
            <family val="2"/>
            <charset val="238"/>
          </rPr>
          <t>Peremszámok</t>
        </r>
      </text>
    </comment>
    <comment ref="DM32" authorId="0" shapeId="0" xr:uid="{4F676AFF-99E0-4263-B187-84A719548814}">
      <text>
        <r>
          <rPr>
            <b/>
            <sz val="9"/>
            <color indexed="81"/>
            <rFont val="Tahoma"/>
            <family val="2"/>
            <charset val="238"/>
          </rPr>
          <t>Peremszámok</t>
        </r>
      </text>
    </comment>
    <comment ref="DV32" authorId="0" shapeId="0" xr:uid="{31598FBA-C228-453F-A993-9041871C4CD6}">
      <text>
        <r>
          <rPr>
            <b/>
            <sz val="9"/>
            <color indexed="81"/>
            <rFont val="Tahoma"/>
            <family val="2"/>
            <charset val="238"/>
          </rPr>
          <t>Peremszámok</t>
        </r>
      </text>
    </comment>
    <comment ref="EE32" authorId="0" shapeId="0" xr:uid="{87A87FE4-5D82-4A0F-B7C6-643093B8C750}">
      <text>
        <r>
          <rPr>
            <b/>
            <sz val="9"/>
            <color indexed="81"/>
            <rFont val="Tahoma"/>
            <family val="2"/>
            <charset val="238"/>
          </rPr>
          <t>Peremszámok</t>
        </r>
      </text>
    </comment>
    <comment ref="EN32" authorId="0" shapeId="0" xr:uid="{4ACF1A76-917C-470D-97D3-36366957E16B}">
      <text>
        <r>
          <rPr>
            <b/>
            <sz val="9"/>
            <color indexed="81"/>
            <rFont val="Tahoma"/>
            <family val="2"/>
            <charset val="238"/>
          </rPr>
          <t>Peremszámok</t>
        </r>
      </text>
    </comment>
    <comment ref="E33" authorId="0" shapeId="0" xr:uid="{EDFB7DF3-9324-49E7-A73A-045846FA275D}">
      <text>
        <r>
          <rPr>
            <b/>
            <sz val="9"/>
            <color indexed="81"/>
            <rFont val="Tahoma"/>
            <charset val="1"/>
          </rPr>
          <t>ÁKM adatár 'ÁKM10KORR' B79:BN79</t>
        </r>
      </text>
    </comment>
    <comment ref="AX33" authorId="0" shapeId="0" xr:uid="{AF931BD7-73AF-4BE1-9DC7-F4880076988C}">
      <text>
        <r>
          <rPr>
            <b/>
            <sz val="9"/>
            <color indexed="81"/>
            <rFont val="Tahoma"/>
            <charset val="1"/>
          </rPr>
          <t>ÁKM adatár 'ÁKM15KORR' B79:BN79</t>
        </r>
      </text>
    </comment>
    <comment ref="CQ33" authorId="0" shapeId="0" xr:uid="{2EB8CCFF-03EB-4AA7-B9B3-062E89648452}">
      <text>
        <r>
          <rPr>
            <b/>
            <sz val="9"/>
            <color indexed="81"/>
            <rFont val="Tahoma"/>
            <charset val="1"/>
          </rPr>
          <t>ÁKM adatár 'ÁKM20KORR' B79:BN79</t>
        </r>
      </text>
    </comment>
    <comment ref="E34" authorId="0" shapeId="0" xr:uid="{04AFEFF9-6534-4492-A799-ADACA622CDC6}">
      <text>
        <r>
          <rPr>
            <b/>
            <sz val="9"/>
            <color indexed="81"/>
            <rFont val="Tahoma"/>
            <charset val="1"/>
          </rPr>
          <t xml:space="preserve">ÁKM adatár 'ÁKM10KORR' B80:BN80 </t>
        </r>
      </text>
    </comment>
    <comment ref="AX34" authorId="0" shapeId="0" xr:uid="{ED1992CC-6E17-4AE4-98D4-6F1484F2E721}">
      <text>
        <r>
          <rPr>
            <b/>
            <sz val="9"/>
            <color indexed="81"/>
            <rFont val="Tahoma"/>
            <charset val="1"/>
          </rPr>
          <t xml:space="preserve">ÁKM adatár 'ÁKM15KORR' B80:BN80 </t>
        </r>
      </text>
    </comment>
    <comment ref="CQ34" authorId="0" shapeId="0" xr:uid="{60F3AC91-2EF4-4EFA-9F7E-E52628D8F4E5}">
      <text>
        <r>
          <rPr>
            <b/>
            <sz val="9"/>
            <color indexed="81"/>
            <rFont val="Tahoma"/>
            <charset val="1"/>
          </rPr>
          <t xml:space="preserve">ÁKM adatár 'ÁKM20KORR' B80:BN80 </t>
        </r>
      </text>
    </comment>
    <comment ref="E35" authorId="0" shapeId="0" xr:uid="{0A5DB95A-F8C4-4C94-BC0D-856C224026E5}">
      <text>
        <r>
          <rPr>
            <b/>
            <sz val="9"/>
            <color indexed="81"/>
            <rFont val="Tahoma"/>
            <charset val="1"/>
          </rPr>
          <t>ÁKM adatár 'ÁKM10KORR' B81:BN81</t>
        </r>
      </text>
    </comment>
    <comment ref="AX35" authorId="0" shapeId="0" xr:uid="{E1D6DE9C-9004-432A-9109-6CE2AF681AA6}">
      <text>
        <r>
          <rPr>
            <b/>
            <sz val="9"/>
            <color indexed="81"/>
            <rFont val="Tahoma"/>
            <charset val="1"/>
          </rPr>
          <t>ÁKM adatár 'ÁKM15KORR' B81:BN81</t>
        </r>
      </text>
    </comment>
    <comment ref="CQ35" authorId="0" shapeId="0" xr:uid="{FE7CAF4A-5026-483A-B37F-DE4033A68F8D}">
      <text>
        <r>
          <rPr>
            <b/>
            <sz val="9"/>
            <color indexed="81"/>
            <rFont val="Tahoma"/>
            <charset val="1"/>
          </rPr>
          <t>ÁKM adatár 'ÁKM20KORR' B81:BN81</t>
        </r>
      </text>
    </comment>
    <comment ref="E36" authorId="0" shapeId="0" xr:uid="{037A3299-6116-4AD3-BB02-42F26785DC8D}">
      <text>
        <r>
          <rPr>
            <b/>
            <sz val="9"/>
            <color indexed="81"/>
            <rFont val="Tahoma"/>
            <charset val="1"/>
          </rPr>
          <t>ÁKM adatár 'ÁKM10KORR' B82:BN82</t>
        </r>
      </text>
    </comment>
    <comment ref="AX36" authorId="0" shapeId="0" xr:uid="{D169AD72-D297-4B06-97BF-BB88746DD284}">
      <text>
        <r>
          <rPr>
            <b/>
            <sz val="9"/>
            <color indexed="81"/>
            <rFont val="Tahoma"/>
            <charset val="1"/>
          </rPr>
          <t>ÁKM adatár 'ÁKM15KORR' B82:BN82</t>
        </r>
      </text>
    </comment>
    <comment ref="CQ36" authorId="0" shapeId="0" xr:uid="{D34315D3-D145-47C2-B0CC-D72C43812EAF}">
      <text>
        <r>
          <rPr>
            <b/>
            <sz val="9"/>
            <color indexed="81"/>
            <rFont val="Tahoma"/>
            <charset val="1"/>
          </rPr>
          <t>ÁKM adatár 'ÁKM20KORR' B82:BN82</t>
        </r>
      </text>
    </comment>
    <comment ref="I52" authorId="0" shapeId="0" xr:uid="{640C46C2-8ECC-4625-8075-16F2AFB33C5C}">
      <text>
        <r>
          <rPr>
            <b/>
            <sz val="9"/>
            <color indexed="81"/>
            <rFont val="Tahoma"/>
            <charset val="1"/>
          </rPr>
          <t>Egység mátrix - ÁKM adatár 'ÁKM10KORR' B76:BN76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Otthoni</author>
  </authors>
  <commentList>
    <comment ref="J5" authorId="0" shapeId="0" xr:uid="{742C0817-0BA6-467E-BDF5-4A5A8D088635}">
      <text>
        <r>
          <rPr>
            <b/>
            <sz val="9"/>
            <color indexed="81"/>
            <rFont val="Tahoma"/>
            <charset val="1"/>
          </rPr>
          <t>Foglalkoztatási adattár 'Fogl2011' C15:BL56
(aggregálva UMD szerint)</t>
        </r>
      </text>
    </comment>
    <comment ref="N5" authorId="0" shapeId="0" xr:uid="{602A3596-E5E0-4FF1-989F-BD658963ABC7}">
      <text>
        <r>
          <rPr>
            <b/>
            <sz val="9"/>
            <color indexed="81"/>
            <rFont val="Tahoma"/>
            <charset val="1"/>
          </rPr>
          <t>Foglalkoztatási adattár 'Fogl2012' C15:BL56
(aggregálva UMD szerint)</t>
        </r>
      </text>
    </comment>
    <comment ref="R5" authorId="0" shapeId="0" xr:uid="{48C5431C-1A93-4042-9FD8-E924999513FF}">
      <text>
        <r>
          <rPr>
            <b/>
            <sz val="9"/>
            <color indexed="81"/>
            <rFont val="Tahoma"/>
            <charset val="1"/>
          </rPr>
          <t>Foglalkoztatási adattár 'Fogl2013' C15:BL56
(aggregálva UMD szerint)</t>
        </r>
      </text>
    </comment>
    <comment ref="V5" authorId="0" shapeId="0" xr:uid="{BDA94583-FC0B-44D4-BF29-36E4AE3BD623}">
      <text>
        <r>
          <rPr>
            <b/>
            <sz val="9"/>
            <color indexed="81"/>
            <rFont val="Tahoma"/>
            <charset val="1"/>
          </rPr>
          <t>Foglalkoztatási adattár 'Fogl2014' C15:BL56
(aggregálva UMD szerint)</t>
        </r>
      </text>
    </comment>
    <comment ref="Z5" authorId="0" shapeId="0" xr:uid="{40C03E2A-7974-48B3-9568-F09D7BF9334A}">
      <text>
        <r>
          <rPr>
            <b/>
            <sz val="9"/>
            <color indexed="81"/>
            <rFont val="Tahoma"/>
            <charset val="1"/>
          </rPr>
          <t>Foglalkoztatási adattár 'Fogl2015' C15:BL56
(aggregálva UMD szerint)</t>
        </r>
      </text>
    </comment>
    <comment ref="AD5" authorId="0" shapeId="0" xr:uid="{47B29FB2-672A-4609-9E42-DE14B5A4F701}">
      <text>
        <r>
          <rPr>
            <b/>
            <sz val="9"/>
            <color indexed="81"/>
            <rFont val="Tahoma"/>
            <charset val="1"/>
          </rPr>
          <t>Foglalkoztatási adattár 'Fogl2016' C15:BL56
(aggregálva UMD szerint)</t>
        </r>
      </text>
    </comment>
    <comment ref="AH5" authorId="0" shapeId="0" xr:uid="{2C58C69D-F8F3-4230-9867-7BB798CFECE2}">
      <text>
        <r>
          <rPr>
            <b/>
            <sz val="9"/>
            <color indexed="81"/>
            <rFont val="Tahoma"/>
            <charset val="1"/>
          </rPr>
          <t>Foglalkoztatási adattár 'Fogl2017' C15:BL56
(aggregálva UMD szerint)</t>
        </r>
      </text>
    </comment>
    <comment ref="AL5" authorId="0" shapeId="0" xr:uid="{4DC3B061-2AE0-4D9C-9E98-7D06CC960455}">
      <text>
        <r>
          <rPr>
            <b/>
            <sz val="9"/>
            <color indexed="81"/>
            <rFont val="Tahoma"/>
            <charset val="1"/>
          </rPr>
          <t>Foglalkoztatási adattár 'Fogl2018' C15:BL56
(aggregálva UMD szerint)</t>
        </r>
      </text>
    </comment>
    <comment ref="AP5" authorId="0" shapeId="0" xr:uid="{61A7770D-E999-42AA-B7BF-9F545F93336C}">
      <text>
        <r>
          <rPr>
            <b/>
            <sz val="9"/>
            <color indexed="81"/>
            <rFont val="Tahoma"/>
            <charset val="1"/>
          </rPr>
          <t>Létszámigényesség trendekből számítva</t>
        </r>
      </text>
    </comment>
    <comment ref="AT5" authorId="0" shapeId="0" xr:uid="{3393B98E-3BA1-4965-96D3-9C3625D6448C}">
      <text>
        <r>
          <rPr>
            <b/>
            <sz val="9"/>
            <color indexed="81"/>
            <rFont val="Tahoma"/>
            <charset val="1"/>
          </rPr>
          <t>Létszámigényesség trendekből számítva</t>
        </r>
      </text>
    </comment>
    <comment ref="AX5" authorId="0" shapeId="0" xr:uid="{5325C141-7535-4E4E-A70F-A0233F6AE9AF}">
      <text>
        <r>
          <rPr>
            <b/>
            <sz val="9"/>
            <color indexed="81"/>
            <rFont val="Tahoma"/>
            <charset val="1"/>
          </rPr>
          <t>Létszámigényesség trendekből számítva</t>
        </r>
      </text>
    </comment>
    <comment ref="BB5" authorId="0" shapeId="0" xr:uid="{639C8BA6-47B3-483F-84C6-2E4BE16BAF44}">
      <text>
        <r>
          <rPr>
            <b/>
            <sz val="9"/>
            <color indexed="81"/>
            <rFont val="Tahoma"/>
            <charset val="1"/>
          </rPr>
          <t>Létszámigényesség trendekből számítva</t>
        </r>
      </text>
    </comment>
    <comment ref="BF5" authorId="0" shapeId="0" xr:uid="{50E14BA0-C1A5-431E-ABA3-27431842D672}">
      <text>
        <r>
          <rPr>
            <b/>
            <sz val="9"/>
            <color indexed="81"/>
            <rFont val="Tahoma"/>
            <charset val="1"/>
          </rPr>
          <t>Létszámigényesség trendekből számítva</t>
        </r>
      </text>
    </comment>
    <comment ref="BJ5" authorId="0" shapeId="0" xr:uid="{B95D5552-5A94-4B5F-B7F3-0D80A56FE517}">
      <text>
        <r>
          <rPr>
            <b/>
            <sz val="9"/>
            <color indexed="81"/>
            <rFont val="Tahoma"/>
            <charset val="1"/>
          </rPr>
          <t>Létszámigényesség trendekből számítva</t>
        </r>
      </text>
    </comment>
    <comment ref="BN5" authorId="0" shapeId="0" xr:uid="{2B154982-69BB-4CE9-87E0-D3D62BE95DB3}">
      <text>
        <r>
          <rPr>
            <b/>
            <sz val="9"/>
            <color indexed="81"/>
            <rFont val="Tahoma"/>
            <charset val="1"/>
          </rPr>
          <t>Létszámigényesség trendekből számítva</t>
        </r>
      </text>
    </comment>
    <comment ref="J17" authorId="0" shapeId="0" xr:uid="{4FB3D04B-1064-440D-9F3F-2E83E957FED8}">
      <text>
        <r>
          <rPr>
            <b/>
            <sz val="9"/>
            <color indexed="81"/>
            <rFont val="Tahoma"/>
            <charset val="1"/>
          </rPr>
          <t>Foglalkoztatási adattár 'Fogl2011'C4:BL10
(aggregálva UMD szerint)</t>
        </r>
      </text>
    </comment>
    <comment ref="N17" authorId="0" shapeId="0" xr:uid="{6B0D264A-3115-408A-8B38-0C630C82832E}">
      <text>
        <r>
          <rPr>
            <b/>
            <sz val="9"/>
            <color indexed="81"/>
            <rFont val="Tahoma"/>
            <charset val="1"/>
          </rPr>
          <t>Foglalkoztatási adattár 'Fogl2012'C4:BL10
(aggregálva UMD szerint)</t>
        </r>
      </text>
    </comment>
    <comment ref="R17" authorId="0" shapeId="0" xr:uid="{BB9CEE35-5E3D-4E2B-A0F8-0BB9E947A9C0}">
      <text>
        <r>
          <rPr>
            <b/>
            <sz val="9"/>
            <color indexed="81"/>
            <rFont val="Tahoma"/>
            <charset val="1"/>
          </rPr>
          <t>Foglalkoztatási adattár 'Fogl2013'C4:BL10
(aggregálva UMD szerint)</t>
        </r>
      </text>
    </comment>
    <comment ref="V17" authorId="0" shapeId="0" xr:uid="{7C87521E-85E0-4CC8-B589-DEFEE44174B3}">
      <text>
        <r>
          <rPr>
            <b/>
            <sz val="9"/>
            <color indexed="81"/>
            <rFont val="Tahoma"/>
            <charset val="1"/>
          </rPr>
          <t>Foglalkoztatási adattár 'Fogl2014'C4:BL10
(aggregálva UMD szerint)</t>
        </r>
      </text>
    </comment>
    <comment ref="Z17" authorId="0" shapeId="0" xr:uid="{91F3A811-2D46-4DD7-A4A1-B22717FC3805}">
      <text>
        <r>
          <rPr>
            <b/>
            <sz val="9"/>
            <color indexed="81"/>
            <rFont val="Tahoma"/>
            <charset val="1"/>
          </rPr>
          <t>Foglalkoztatási adattár 'Fogl2015'C4:BL10
(aggregálva UMD szerint)</t>
        </r>
      </text>
    </comment>
    <comment ref="AD17" authorId="0" shapeId="0" xr:uid="{A69DF755-9DDA-4183-9744-76F0D8C62032}">
      <text>
        <r>
          <rPr>
            <b/>
            <sz val="9"/>
            <color indexed="81"/>
            <rFont val="Tahoma"/>
            <charset val="1"/>
          </rPr>
          <t>Foglalkoztatási adattár 'Fogl2016'C4:BL10
(aggregálva UMD szerint)</t>
        </r>
      </text>
    </comment>
    <comment ref="AH17" authorId="0" shapeId="0" xr:uid="{0EE3345A-D784-4847-84F1-FB9DB589DA03}">
      <text>
        <r>
          <rPr>
            <b/>
            <sz val="9"/>
            <color indexed="81"/>
            <rFont val="Tahoma"/>
            <charset val="1"/>
          </rPr>
          <t>Foglalkoztatási adattár 'Fogl2017'C4:BL10
(aggregálva UMD szerint)</t>
        </r>
      </text>
    </comment>
    <comment ref="AL17" authorId="0" shapeId="0" xr:uid="{E8509979-1CF4-4110-8C2E-CE3C79E9172E}">
      <text>
        <r>
          <rPr>
            <b/>
            <sz val="9"/>
            <color indexed="81"/>
            <rFont val="Tahoma"/>
            <charset val="1"/>
          </rPr>
          <t>Foglalkoztatási adattár 'Fogl2018'C4:BL10
(aggregálva UMD szerint)</t>
        </r>
      </text>
    </comment>
    <comment ref="AP17" authorId="0" shapeId="0" xr:uid="{9E34DBC0-2172-431B-98E4-77746EB9E0F8}">
      <text>
        <r>
          <rPr>
            <b/>
            <sz val="9"/>
            <color indexed="81"/>
            <rFont val="Tahoma"/>
            <charset val="1"/>
          </rPr>
          <t>Létszámigényesség trendekből számítva</t>
        </r>
      </text>
    </comment>
    <comment ref="AT17" authorId="0" shapeId="0" xr:uid="{6D94E367-FC94-4319-BA6D-0D7C9B0982A5}">
      <text>
        <r>
          <rPr>
            <b/>
            <sz val="9"/>
            <color indexed="81"/>
            <rFont val="Tahoma"/>
            <charset val="1"/>
          </rPr>
          <t>Létszámigényesség trendekből számítva</t>
        </r>
      </text>
    </comment>
    <comment ref="AX17" authorId="0" shapeId="0" xr:uid="{5AFE0683-A14C-42BF-8BDE-66AB98EF5E74}">
      <text>
        <r>
          <rPr>
            <b/>
            <sz val="9"/>
            <color indexed="81"/>
            <rFont val="Tahoma"/>
            <charset val="1"/>
          </rPr>
          <t>Létszámigényesség trendekből számítva</t>
        </r>
      </text>
    </comment>
    <comment ref="BB17" authorId="0" shapeId="0" xr:uid="{D4A97895-53F6-4ACD-B6D0-03FC58BE7271}">
      <text>
        <r>
          <rPr>
            <b/>
            <sz val="9"/>
            <color indexed="81"/>
            <rFont val="Tahoma"/>
            <charset val="1"/>
          </rPr>
          <t>Létszámigényesség trendekből számítva</t>
        </r>
      </text>
    </comment>
    <comment ref="BF17" authorId="0" shapeId="0" xr:uid="{19A22127-D128-40DC-AC41-F50DFB743CD3}">
      <text>
        <r>
          <rPr>
            <b/>
            <sz val="9"/>
            <color indexed="81"/>
            <rFont val="Tahoma"/>
            <charset val="1"/>
          </rPr>
          <t>Létszámigényesség trendekből számítva</t>
        </r>
      </text>
    </comment>
    <comment ref="BJ17" authorId="0" shapeId="0" xr:uid="{26CE2D51-7695-439F-B49F-F29EDBDAFE4F}">
      <text>
        <r>
          <rPr>
            <b/>
            <sz val="9"/>
            <color indexed="81"/>
            <rFont val="Tahoma"/>
            <charset val="1"/>
          </rPr>
          <t>Létszámigényesség trendekből számítva</t>
        </r>
      </text>
    </comment>
    <comment ref="BN17" authorId="0" shapeId="0" xr:uid="{D0A32200-6541-42AF-9418-AFEA7BAD23C3}">
      <text>
        <r>
          <rPr>
            <b/>
            <sz val="9"/>
            <color indexed="81"/>
            <rFont val="Tahoma"/>
            <charset val="1"/>
          </rPr>
          <t>Létszámigényesség trendekből számítva</t>
        </r>
      </text>
    </comment>
    <comment ref="J31" authorId="0" shapeId="0" xr:uid="{E88DB37B-BE3F-4C05-A58C-E8BB54F05B76}">
      <text>
        <r>
          <rPr>
            <b/>
            <sz val="9"/>
            <color indexed="81"/>
            <rFont val="Tahoma"/>
            <family val="2"/>
            <charset val="238"/>
          </rPr>
          <t>2011-es ÁKM számított kibocsátás</t>
        </r>
      </text>
    </comment>
    <comment ref="N31" authorId="0" shapeId="0" xr:uid="{6E7FEB37-BF67-4402-80D8-A13CF039A442}">
      <text>
        <r>
          <rPr>
            <b/>
            <sz val="9"/>
            <color indexed="81"/>
            <rFont val="Tahoma"/>
            <family val="2"/>
            <charset val="238"/>
          </rPr>
          <t>2012-es ÁKM számított kibocsátás</t>
        </r>
      </text>
    </comment>
    <comment ref="R31" authorId="0" shapeId="0" xr:uid="{60B3DAA9-CEF7-4549-84B4-C0546EE7D618}">
      <text>
        <r>
          <rPr>
            <b/>
            <sz val="9"/>
            <color indexed="81"/>
            <rFont val="Tahoma"/>
            <family val="2"/>
            <charset val="238"/>
          </rPr>
          <t>2013-as ÁKM számított kibocsátás</t>
        </r>
      </text>
    </comment>
    <comment ref="V31" authorId="0" shapeId="0" xr:uid="{2DA3C376-7B06-45E9-BC55-9A8C3E219161}">
      <text>
        <r>
          <rPr>
            <b/>
            <sz val="9"/>
            <color indexed="81"/>
            <rFont val="Tahoma"/>
            <family val="2"/>
            <charset val="238"/>
          </rPr>
          <t>2014-es ÁKM számított kibocsátás</t>
        </r>
      </text>
    </comment>
    <comment ref="Z31" authorId="0" shapeId="0" xr:uid="{99EB70B6-0229-4C62-A2CA-890DCBEE011D}">
      <text>
        <r>
          <rPr>
            <b/>
            <sz val="9"/>
            <color indexed="81"/>
            <rFont val="Tahoma"/>
            <family val="2"/>
            <charset val="238"/>
          </rPr>
          <t>2015-ös ÁKM számított kibocsátás</t>
        </r>
      </text>
    </comment>
    <comment ref="AD31" authorId="0" shapeId="0" xr:uid="{3B05FC80-DE24-4044-94C0-8455C1572D29}">
      <text>
        <r>
          <rPr>
            <b/>
            <sz val="9"/>
            <color indexed="81"/>
            <rFont val="Tahoma"/>
            <family val="2"/>
            <charset val="238"/>
          </rPr>
          <t>2016-os ÁKM számított kibocsátás</t>
        </r>
      </text>
    </comment>
    <comment ref="AH31" authorId="0" shapeId="0" xr:uid="{DCA1F1FB-2E6E-48F0-AD76-57D26A005246}">
      <text>
        <r>
          <rPr>
            <b/>
            <sz val="9"/>
            <color indexed="81"/>
            <rFont val="Tahoma"/>
            <family val="2"/>
            <charset val="238"/>
          </rPr>
          <t>2017-es ÁKM számított kibocsátás</t>
        </r>
      </text>
    </comment>
    <comment ref="AL31" authorId="0" shapeId="0" xr:uid="{E93D9D24-FA60-4435-A2C0-154B863FA20B}">
      <text>
        <r>
          <rPr>
            <b/>
            <sz val="9"/>
            <color indexed="81"/>
            <rFont val="Tahoma"/>
            <family val="2"/>
            <charset val="238"/>
          </rPr>
          <t>2018-as ÁKM számított kibocsátás</t>
        </r>
      </text>
    </comment>
    <comment ref="AP31" authorId="0" shapeId="0" xr:uid="{6F5A9A41-AFF2-463A-821E-30BC8F4084C7}">
      <text>
        <r>
          <rPr>
            <b/>
            <sz val="9"/>
            <color indexed="81"/>
            <rFont val="Tahoma"/>
            <family val="2"/>
            <charset val="238"/>
          </rPr>
          <t>2019-es ÁKM számított kibocsátás</t>
        </r>
      </text>
    </comment>
    <comment ref="AT31" authorId="0" shapeId="0" xr:uid="{FC40637A-540A-40A7-B405-869D4F56F4FE}">
      <text>
        <r>
          <rPr>
            <b/>
            <sz val="9"/>
            <color indexed="81"/>
            <rFont val="Tahoma"/>
            <family val="2"/>
            <charset val="238"/>
          </rPr>
          <t>2020-as ÁKM számított kibocsátás</t>
        </r>
      </text>
    </comment>
    <comment ref="AX31" authorId="0" shapeId="0" xr:uid="{1036208D-1653-49BD-BFED-435D02A8B7A3}">
      <text>
        <r>
          <rPr>
            <b/>
            <sz val="9"/>
            <color indexed="81"/>
            <rFont val="Tahoma"/>
            <family val="2"/>
            <charset val="238"/>
          </rPr>
          <t>2021-es ÁKM számított kibocsátás</t>
        </r>
      </text>
    </comment>
    <comment ref="BB31" authorId="0" shapeId="0" xr:uid="{311185E8-151F-4C36-BB18-3623FD7A3776}">
      <text>
        <r>
          <rPr>
            <b/>
            <sz val="9"/>
            <color indexed="81"/>
            <rFont val="Tahoma"/>
            <family val="2"/>
            <charset val="238"/>
          </rPr>
          <t>2022-es ÁKM számított kibocsátás</t>
        </r>
      </text>
    </comment>
    <comment ref="BF31" authorId="0" shapeId="0" xr:uid="{AC204FB0-8EC0-4744-A81B-877C520EE1B6}">
      <text>
        <r>
          <rPr>
            <b/>
            <sz val="9"/>
            <color indexed="81"/>
            <rFont val="Tahoma"/>
            <family val="2"/>
            <charset val="238"/>
          </rPr>
          <t>2023-as ÁKM számított kibocsátás</t>
        </r>
      </text>
    </comment>
    <comment ref="BJ31" authorId="0" shapeId="0" xr:uid="{2C6D903C-F83C-4634-B1CE-64EE0FC6A278}">
      <text>
        <r>
          <rPr>
            <b/>
            <sz val="9"/>
            <color indexed="81"/>
            <rFont val="Tahoma"/>
            <family val="2"/>
            <charset val="238"/>
          </rPr>
          <t>2024-es ÁKM számított kibocsátás</t>
        </r>
      </text>
    </comment>
    <comment ref="BN31" authorId="0" shapeId="0" xr:uid="{13670092-63C9-40A0-AA56-A9F935EB2913}">
      <text>
        <r>
          <rPr>
            <b/>
            <sz val="9"/>
            <color indexed="81"/>
            <rFont val="Tahoma"/>
            <family val="2"/>
            <charset val="238"/>
          </rPr>
          <t>2025-ös ÁKM számított kibocsátás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<sst xmlns="http://schemas.openxmlformats.org/spreadsheetml/2006/main" count="1559" uniqueCount="1196">
  <si>
    <t>Upstream</t>
  </si>
  <si>
    <t>Gyártás</t>
  </si>
  <si>
    <t>Downstream</t>
  </si>
  <si>
    <t>0 FEGYVERES SZERVEK FOGLALKOZÁSAI</t>
  </si>
  <si>
    <t>1 GAZDASÁGI, IGAZGATÁSI, ÉRDEK-KÉPVISELETI VEZETŐK, TÖRVÉNYHOZÓK</t>
  </si>
  <si>
    <t>2 FELSŐFOKÚ KÉPZETTSÉG ÖNÁLLÓ ALKALMAZÁSÁT IGÉNYLŐ FOGLALKOZÁSOK</t>
  </si>
  <si>
    <t>3 EGYÉB FELSŐFOKÚ VAGY KÖZÉPFOKÚ KÉPZETTSÉGET IGÉNYLŐ FOGLALKOZÁSOK</t>
  </si>
  <si>
    <t>4 IRODAI ÉS ÜGYVITELI (ÜGYFÉLKAPCSOLATI) FOGLALKOZÁSOK</t>
  </si>
  <si>
    <t>5 KERESKEDELMI ÉS SZOLGÁLTATÁSI FOGLALKOZÁSOK</t>
  </si>
  <si>
    <t>6 MEZŐGAZDASÁGI ÉS ERDŐGAZDÁLKODÁSI FOGLALKOZÁSOK</t>
  </si>
  <si>
    <t>7 IPARI ÉS ÉPÍTŐIPARI FOGLALKOZÁSOK</t>
  </si>
  <si>
    <t>8 GÉPKEZELŐK, ÖSSZESZERELŐK, JÁRMŰVEZETŐK</t>
  </si>
  <si>
    <t>9 SZAKKÉPZETTSÉGET NEM IGÉNYLŐ (EGYSZERŰ) FOGLALKOZÁSOK</t>
  </si>
  <si>
    <t>I1 Általános Iskola 0-7 osztály</t>
  </si>
  <si>
    <t>I2 Általános Iskola 8 osztály</t>
  </si>
  <si>
    <t>I3-I5 Szakiskola, Szakmunkásképző iskola, Szakközépiskola</t>
  </si>
  <si>
    <t>I6 Gimnázium</t>
  </si>
  <si>
    <t>I7 Technikum</t>
  </si>
  <si>
    <t>I8 Főiskola</t>
  </si>
  <si>
    <t>I9 Egyetem</t>
  </si>
  <si>
    <t>Kontrol</t>
  </si>
  <si>
    <t>Összesen</t>
  </si>
  <si>
    <t>Bruttó hozzáadott érték</t>
  </si>
  <si>
    <t>Munkavállalói jövedelem</t>
  </si>
  <si>
    <t>Végső fogyasztás összesen</t>
  </si>
  <si>
    <t>Bruttó felhalmozás</t>
  </si>
  <si>
    <t>Export</t>
  </si>
  <si>
    <t>Import</t>
  </si>
  <si>
    <t>Folyó ár</t>
  </si>
  <si>
    <t>Előző évi ár</t>
  </si>
  <si>
    <t>GDP termelés</t>
  </si>
  <si>
    <t>Termelés kontrol</t>
  </si>
  <si>
    <t>GDP felhasználás</t>
  </si>
  <si>
    <t>GDP kontrol</t>
  </si>
  <si>
    <t>Foglalkoztatás</t>
  </si>
  <si>
    <t>Termelékenység</t>
  </si>
  <si>
    <t>Tárgyi eszközök állománya</t>
  </si>
  <si>
    <t>Tudás eszközök állománya összesen</t>
  </si>
  <si>
    <t>Eszközök állománya összesen</t>
  </si>
  <si>
    <t>Folyó árak az előző évi árak %-ban (ptpt-1)</t>
  </si>
  <si>
    <t>Folyó árak a 2015 évi árak %-ban (ptp14)</t>
  </si>
  <si>
    <t>2015 évi ár</t>
  </si>
  <si>
    <t>GDP termelés kontrol - folyó ár</t>
  </si>
  <si>
    <t>GDP termelés kontrol - Előző évi ár ár</t>
  </si>
  <si>
    <t>GDP termelés kontrol - 2015 évi ár ár</t>
  </si>
  <si>
    <t>GDP termelés - Folyó ár</t>
  </si>
  <si>
    <t>GDP felhasználás - Folyó ár</t>
  </si>
  <si>
    <t>Eltérés</t>
  </si>
  <si>
    <t>GDP termelés - 2015 évi ár</t>
  </si>
  <si>
    <t>GDP felhasználás - 2015 évi ár</t>
  </si>
  <si>
    <t>Esődleges foglalkoztatottak dogozó nyugdíjasokkal együtt</t>
  </si>
  <si>
    <t>Munkanélküliek</t>
  </si>
  <si>
    <t>Közmunka</t>
  </si>
  <si>
    <t>Külföldön dolgozók</t>
  </si>
  <si>
    <t>Gyes-gyed-stb.</t>
  </si>
  <si>
    <t>Tanulók</t>
  </si>
  <si>
    <t>Egyéb inkatívak</t>
  </si>
  <si>
    <t>Nem dolgozó nyugdíjasok</t>
  </si>
  <si>
    <t>Foglalkoztathatók összesen</t>
  </si>
  <si>
    <t>Egy főre jutó kibocsátás folyó áron</t>
  </si>
  <si>
    <t>Egy főre jutó kibocsátás folyó2015 évi áron</t>
  </si>
  <si>
    <t>Fő</t>
  </si>
  <si>
    <t>MFT/fő</t>
  </si>
  <si>
    <t>Előrejelzési variáns:</t>
  </si>
  <si>
    <t>Az 1995 utáni növekedés folytatása</t>
  </si>
  <si>
    <t>2025/2020</t>
  </si>
  <si>
    <t>A 2015 utáni növekedés folytatása</t>
  </si>
  <si>
    <t>Folyó termelőfelhasználás / Végső felhasználás piaci beszerzési áron</t>
  </si>
  <si>
    <t>Egyéb termelési adók és támogatások egyenlege</t>
  </si>
  <si>
    <t>Állóeszközfelhasználás</t>
  </si>
  <si>
    <t>Nettó működési eredmény</t>
  </si>
  <si>
    <t>Bruttó hozzáadott érték alapáron</t>
  </si>
  <si>
    <t>Kibocsátás alapáron</t>
  </si>
  <si>
    <t>Összes input</t>
  </si>
  <si>
    <t>Végső fogyasztási kiadás összesen</t>
  </si>
  <si>
    <t>Bruttó felhalmozás összesen</t>
  </si>
  <si>
    <t>Export összesen</t>
  </si>
  <si>
    <t>Végső felhasználás összesen</t>
  </si>
  <si>
    <t>Felhasználás összesen</t>
  </si>
  <si>
    <t>Folyó termelőfelhasználás/ Végső felhasználás alapáron, hazai kibocsátásból</t>
  </si>
  <si>
    <t>Importált termékek és szolgáltatások  felhasználása összesen, c.i.f.-en</t>
  </si>
  <si>
    <t>Termékadók és támogatások egyenlege</t>
  </si>
  <si>
    <t>2015 évi áron</t>
  </si>
  <si>
    <t>Kontrol 1 Ágazatok összesen = Folyó term. Felh</t>
  </si>
  <si>
    <t>Kontrol 3 Hozzáadott érték kontrol</t>
  </si>
  <si>
    <t>Kontrol 4 Term.2 + Hozzáadott érték = Ödsszes kibocsátáa</t>
  </si>
  <si>
    <t>Kontrol 2 Folyó term.1 + import + term. adók = Folyó term.2</t>
  </si>
  <si>
    <t>Kontrol 5 Ágazatok összesen = összes input</t>
  </si>
  <si>
    <t>Kontrol 7 Összes input + Végső felh. = Felhaszn. összesen</t>
  </si>
  <si>
    <t>Kontrol 6 Vfogy + Brt. Felh + Exp = Végső felhasználás</t>
  </si>
  <si>
    <t>Kontrol 8 Összes kibocsátás = Felhasználás összesen</t>
  </si>
  <si>
    <t>Összes kibocsátás</t>
  </si>
  <si>
    <t>Termelés</t>
  </si>
  <si>
    <t>Létszám igényesség</t>
  </si>
  <si>
    <t>Nemzetgazdaság összesen</t>
  </si>
  <si>
    <t>Fegyveresek</t>
  </si>
  <si>
    <t>Vezetők</t>
  </si>
  <si>
    <t>Felsőfokúak</t>
  </si>
  <si>
    <t>Egyéb felső</t>
  </si>
  <si>
    <t>Iroda-ügyvitel</t>
  </si>
  <si>
    <t>Ker-szolg</t>
  </si>
  <si>
    <t>Mező-erdő</t>
  </si>
  <si>
    <t>Összeszerelők</t>
  </si>
  <si>
    <t>ipar-épip.</t>
  </si>
  <si>
    <t>szakképzetlen</t>
  </si>
  <si>
    <t>összesen</t>
  </si>
  <si>
    <t>0-7 osztály</t>
  </si>
  <si>
    <t>8 osztály</t>
  </si>
  <si>
    <t>szakiskola</t>
  </si>
  <si>
    <t>Gimnázium</t>
  </si>
  <si>
    <t>Technikum</t>
  </si>
  <si>
    <t>Főiskola</t>
  </si>
  <si>
    <t>Egyetem</t>
  </si>
  <si>
    <t>Tangible eszközök állománya összesen</t>
  </si>
  <si>
    <t>Egyéb tangible eszközök álománya</t>
  </si>
  <si>
    <t>F10</t>
  </si>
  <si>
    <t>E10</t>
  </si>
  <si>
    <t>F10 * 1</t>
  </si>
  <si>
    <t>E10 * 1</t>
  </si>
  <si>
    <t>1' * F10</t>
  </si>
  <si>
    <t>1' * E10</t>
  </si>
  <si>
    <t>1' * F10 * 1</t>
  </si>
  <si>
    <t>1' * E10 * 1</t>
  </si>
  <si>
    <t>x10'</t>
  </si>
  <si>
    <t>x10' * 1</t>
  </si>
  <si>
    <r>
      <t>1' * F10 &lt;x10&gt;</t>
    </r>
    <r>
      <rPr>
        <vertAlign val="superscript"/>
        <sz val="11"/>
        <color theme="1"/>
        <rFont val="Calibri"/>
        <family val="2"/>
        <charset val="238"/>
        <scheme val="minor"/>
      </rPr>
      <t>-1</t>
    </r>
  </si>
  <si>
    <r>
      <t>1' * E10 &lt;x10&gt;</t>
    </r>
    <r>
      <rPr>
        <vertAlign val="superscript"/>
        <sz val="11"/>
        <color theme="1"/>
        <rFont val="Calibri"/>
        <family val="2"/>
        <charset val="238"/>
        <scheme val="minor"/>
      </rPr>
      <t>-1</t>
    </r>
  </si>
  <si>
    <t>(1/x10' * 1) * F10 * 1</t>
  </si>
  <si>
    <t>(1/x10' * 1) * E10 * 1</t>
  </si>
  <si>
    <t>1' * ((1/x10' * 1) * (F10 * 1))</t>
  </si>
  <si>
    <t>1' * ((1/x10' * 1) * (E10 * 1))</t>
  </si>
  <si>
    <t>B10</t>
  </si>
  <si>
    <t>1'* B10</t>
  </si>
  <si>
    <t>C10</t>
  </si>
  <si>
    <t>1'* B10 + 1'* C10</t>
  </si>
  <si>
    <t>H10</t>
  </si>
  <si>
    <t>1'* H10</t>
  </si>
  <si>
    <t>B10 * 1</t>
  </si>
  <si>
    <t>1' * B10 * 1</t>
  </si>
  <si>
    <t>C10 * 1</t>
  </si>
  <si>
    <t>(1'* B10 + 1'* C10) * 1</t>
  </si>
  <si>
    <t>H10 * 1</t>
  </si>
  <si>
    <t>1' * H10 * 1</t>
  </si>
  <si>
    <t>A10</t>
  </si>
  <si>
    <t>Y10</t>
  </si>
  <si>
    <t>f10</t>
  </si>
  <si>
    <t>a10</t>
  </si>
  <si>
    <t>e10</t>
  </si>
  <si>
    <t>y10</t>
  </si>
  <si>
    <t>x10</t>
  </si>
  <si>
    <t>1'* f10</t>
  </si>
  <si>
    <t>1'* a10</t>
  </si>
  <si>
    <t>1'* e10</t>
  </si>
  <si>
    <t>1'* y10</t>
  </si>
  <si>
    <t>1'* x10</t>
  </si>
  <si>
    <t>φ10</t>
  </si>
  <si>
    <r>
      <rPr>
        <sz val="11"/>
        <color theme="1"/>
        <rFont val="Calibri"/>
        <family val="2"/>
        <charset val="238"/>
      </rPr>
      <t>α</t>
    </r>
    <r>
      <rPr>
        <sz val="11"/>
        <color theme="1"/>
        <rFont val="Calibri"/>
        <family val="2"/>
        <charset val="238"/>
        <scheme val="minor"/>
      </rPr>
      <t>10</t>
    </r>
  </si>
  <si>
    <t>ε10</t>
  </si>
  <si>
    <r>
      <rPr>
        <sz val="11"/>
        <color theme="1"/>
        <rFont val="Calibri"/>
        <family val="2"/>
        <charset val="238"/>
      </rPr>
      <t>φ</t>
    </r>
    <r>
      <rPr>
        <sz val="11"/>
        <color theme="1"/>
        <rFont val="Calibri"/>
        <family val="2"/>
        <charset val="238"/>
        <scheme val="minor"/>
      </rPr>
      <t xml:space="preserve">10 + </t>
    </r>
    <r>
      <rPr>
        <sz val="11"/>
        <color theme="1"/>
        <rFont val="Calibri"/>
        <family val="2"/>
        <charset val="238"/>
      </rPr>
      <t>α</t>
    </r>
    <r>
      <rPr>
        <sz val="11"/>
        <color theme="1"/>
        <rFont val="Calibri"/>
        <family val="2"/>
        <charset val="238"/>
        <scheme val="minor"/>
      </rPr>
      <t xml:space="preserve">10 + </t>
    </r>
    <r>
      <rPr>
        <sz val="11"/>
        <color theme="1"/>
        <rFont val="Calibri"/>
        <family val="2"/>
        <charset val="238"/>
      </rPr>
      <t>ε</t>
    </r>
    <r>
      <rPr>
        <sz val="11"/>
        <color theme="1"/>
        <rFont val="Calibri"/>
        <family val="2"/>
        <charset val="238"/>
        <scheme val="minor"/>
      </rPr>
      <t>10</t>
    </r>
  </si>
  <si>
    <t>C10 * 1 + φ10 + α10 + ε10</t>
  </si>
  <si>
    <t>1'* x10 + C10 * 1 + φ10 + α10 + ε10</t>
  </si>
  <si>
    <r>
      <rPr>
        <sz val="11"/>
        <color theme="1"/>
        <rFont val="Calibri"/>
        <family val="2"/>
        <charset val="238"/>
      </rPr>
      <t xml:space="preserve">Ḟ10 = </t>
    </r>
    <r>
      <rPr>
        <sz val="11"/>
        <color theme="1"/>
        <rFont val="Calibri"/>
        <family val="2"/>
        <charset val="238"/>
        <scheme val="minor"/>
      </rPr>
      <t>F10 &lt;x10&gt;</t>
    </r>
    <r>
      <rPr>
        <vertAlign val="superscript"/>
        <sz val="11"/>
        <color theme="1"/>
        <rFont val="Calibri"/>
        <family val="2"/>
        <charset val="238"/>
        <scheme val="minor"/>
      </rPr>
      <t>-1</t>
    </r>
  </si>
  <si>
    <t>Ė10 = E10 &lt;x10&gt;-1</t>
  </si>
  <si>
    <t>Kontrol (jó-e az összegzés)</t>
  </si>
  <si>
    <t>Imput adat: forrása peremszámok</t>
  </si>
  <si>
    <t>Számolt adat lapon lévő adatokból</t>
  </si>
  <si>
    <t>Számolt adat: külső forrása másik év mátrixa</t>
  </si>
  <si>
    <r>
      <t xml:space="preserve">B11 = </t>
    </r>
    <r>
      <rPr>
        <sz val="11"/>
        <color theme="1"/>
        <rFont val="Calibri"/>
        <family val="2"/>
        <charset val="238"/>
      </rPr>
      <t>Ḃ</t>
    </r>
    <r>
      <rPr>
        <sz val="11"/>
        <color theme="1"/>
        <rFont val="Calibri"/>
        <family val="2"/>
        <charset val="238"/>
        <scheme val="minor"/>
      </rPr>
      <t>10&lt;x11&gt;</t>
    </r>
  </si>
  <si>
    <t>B11 * 1</t>
  </si>
  <si>
    <t>f11 = (1/F10) * f10 * F11</t>
  </si>
  <si>
    <t>a11 = (1/A10) * a10 * A11</t>
  </si>
  <si>
    <t>e11 = (1/E10) * e10 * E11</t>
  </si>
  <si>
    <t>y11 = f11 + a11 + e11</t>
  </si>
  <si>
    <t>x11 = Q10 * y11</t>
  </si>
  <si>
    <t>B12 = Ḃ10&lt;x12&gt;</t>
  </si>
  <si>
    <t>B12 * 1</t>
  </si>
  <si>
    <t>f12 = (1/F10) * f10 * F12</t>
  </si>
  <si>
    <t>a12 = (1/A10) * a10 * A12</t>
  </si>
  <si>
    <t>e12 = (1/E10) * e10 * E12</t>
  </si>
  <si>
    <t>y12 = f12 + a12 + e12</t>
  </si>
  <si>
    <t>x12 = Q10 * y12</t>
  </si>
  <si>
    <t>B13 = Ḃ15&lt;x13&gt;</t>
  </si>
  <si>
    <t>B13 * 1</t>
  </si>
  <si>
    <t>f13 = (1/F15) * f15 * F13</t>
  </si>
  <si>
    <t>a13 = (1/A15) * a15 * A13</t>
  </si>
  <si>
    <t>e13 = (1/E15) * e15 * E13</t>
  </si>
  <si>
    <t>y13 = f13 + a13 + e13</t>
  </si>
  <si>
    <t>x13 = Q15 * y13</t>
  </si>
  <si>
    <t>B14 = Ḃ15&lt;x14&gt;</t>
  </si>
  <si>
    <t>B14 * 1</t>
  </si>
  <si>
    <t>f14 = (1/F15) * f15 * F14</t>
  </si>
  <si>
    <t>a14 = (1/A15) * a15 * A14</t>
  </si>
  <si>
    <t>e14 = (1/E15) * e15 * E14</t>
  </si>
  <si>
    <t>y14 = f14 + a14 + e14</t>
  </si>
  <si>
    <t>x14 = Q15 * y14</t>
  </si>
  <si>
    <t>B15</t>
  </si>
  <si>
    <t>B15 * 1</t>
  </si>
  <si>
    <t>f15</t>
  </si>
  <si>
    <t>a15</t>
  </si>
  <si>
    <t>e15</t>
  </si>
  <si>
    <t>y15</t>
  </si>
  <si>
    <t>x15</t>
  </si>
  <si>
    <t>1'* B11</t>
  </si>
  <si>
    <t>1' * B11 * 1</t>
  </si>
  <si>
    <t>1'* f11</t>
  </si>
  <si>
    <t>1'* a11</t>
  </si>
  <si>
    <t>1'* e11</t>
  </si>
  <si>
    <t>1'* y11</t>
  </si>
  <si>
    <t>1'* x11</t>
  </si>
  <si>
    <t>1'* B12</t>
  </si>
  <si>
    <t>1' * B12 * 1</t>
  </si>
  <si>
    <t>1'* f12</t>
  </si>
  <si>
    <t>1'* a12</t>
  </si>
  <si>
    <t>1'* e12</t>
  </si>
  <si>
    <t>1'* y12</t>
  </si>
  <si>
    <t>1'* x12</t>
  </si>
  <si>
    <t>1'* B13</t>
  </si>
  <si>
    <t>1' * B13 * 1</t>
  </si>
  <si>
    <t>1'* f13</t>
  </si>
  <si>
    <t>1'* a13</t>
  </si>
  <si>
    <t>1'* e13</t>
  </si>
  <si>
    <t>1'* y13</t>
  </si>
  <si>
    <t>1'* x13</t>
  </si>
  <si>
    <t>1'* B14</t>
  </si>
  <si>
    <t>1' * B14 * 1</t>
  </si>
  <si>
    <t>1'* f14</t>
  </si>
  <si>
    <t>1'* a14</t>
  </si>
  <si>
    <t>1'* e14</t>
  </si>
  <si>
    <t>1'* y14</t>
  </si>
  <si>
    <t>1'* x14</t>
  </si>
  <si>
    <t>1'* B15</t>
  </si>
  <si>
    <t>1' * B15 * 1</t>
  </si>
  <si>
    <t>1'* f15</t>
  </si>
  <si>
    <t>1'* a15</t>
  </si>
  <si>
    <t>1'* e15</t>
  </si>
  <si>
    <t>1'* y15</t>
  </si>
  <si>
    <t>1'* x15</t>
  </si>
  <si>
    <t>C11 = Ċ10&lt;x11&gt;</t>
  </si>
  <si>
    <t>C11 * 1</t>
  </si>
  <si>
    <t>φ11 = (1/F10) *φ10 * F11</t>
  </si>
  <si>
    <t>α11 = (1/A10) * α10 * A11</t>
  </si>
  <si>
    <t>ε11 = (1/E10) * ε10 * E11</t>
  </si>
  <si>
    <t>φ11 + α11 + ε11</t>
  </si>
  <si>
    <t>C11 * 1 + φ11 + α11 + ε11</t>
  </si>
  <si>
    <t>C12 = Ċ10&lt;x12&gt;</t>
  </si>
  <si>
    <t>C12 * 1</t>
  </si>
  <si>
    <t>φ12 = (1/F10) *φ10 * F12</t>
  </si>
  <si>
    <t>α12 = (1/A10) * α10 * A12</t>
  </si>
  <si>
    <t>ε12 = (1/E10) * ε10 * E12</t>
  </si>
  <si>
    <t>φ12 + α12 + ε12</t>
  </si>
  <si>
    <t>C12 * 1 + φ12 + α12 + ε12</t>
  </si>
  <si>
    <t>C13 = Ċ15&lt;x13&gt;</t>
  </si>
  <si>
    <t>C13 * 1</t>
  </si>
  <si>
    <t>φ13 = (1/F15) *φ15 * F13</t>
  </si>
  <si>
    <t>α13 = (1/A15) * α15 * A13</t>
  </si>
  <si>
    <t>ε13 = (1/E15) * ε15 * E13</t>
  </si>
  <si>
    <t>φ13 + α13 + ε13</t>
  </si>
  <si>
    <t>C13 * 1 + φ13 + α13 + ε13</t>
  </si>
  <si>
    <t>C14 = Ċ15&lt;x14&gt;</t>
  </si>
  <si>
    <t>C14 * 1</t>
  </si>
  <si>
    <t>φ14 = (1/F15) *φ15 * F14</t>
  </si>
  <si>
    <t>α14 = (1/A15) * α15 * A14</t>
  </si>
  <si>
    <t>ε14 = (1/E15) * ε15 * E14</t>
  </si>
  <si>
    <t>φ14 + α14 + ε14</t>
  </si>
  <si>
    <t>C14 * 1 + φ14 + α14 + ε14</t>
  </si>
  <si>
    <t>C15</t>
  </si>
  <si>
    <t>C15 * 1</t>
  </si>
  <si>
    <t>φ15</t>
  </si>
  <si>
    <t>α15</t>
  </si>
  <si>
    <t>ε15</t>
  </si>
  <si>
    <t>φ15 + α15 + ε15</t>
  </si>
  <si>
    <t>C15 * 1 + φ15 + α15 + ε15</t>
  </si>
  <si>
    <t>1'* B11 + 1'* C11</t>
  </si>
  <si>
    <t>(1'* B11 + 1'* C11) * 1</t>
  </si>
  <si>
    <t>Y11 = F11 + A11 + E11</t>
  </si>
  <si>
    <t>1'* x11 + 1'*(C11 * 1 + φ11 + α11 + ε11)</t>
  </si>
  <si>
    <t>1'* B12 + 1'* C12</t>
  </si>
  <si>
    <t>(1'* B12 + 1'* C12) * 1</t>
  </si>
  <si>
    <t>Y12 = F12 + A12 + E12</t>
  </si>
  <si>
    <t>1'* x12 + 1'*(C12 * 1 + φ12 + α12 + ε12)</t>
  </si>
  <si>
    <t>1'* B13 + 1'* C13</t>
  </si>
  <si>
    <t>(1'* B13 + 1'* C13) * 1</t>
  </si>
  <si>
    <t>Y13 = F13 + A13 + E13</t>
  </si>
  <si>
    <t>1'* x13 + 1'*(C13 * 1 + φ13 + α13 + ε13)</t>
  </si>
  <si>
    <t>1'* B14 + 1'* C14</t>
  </si>
  <si>
    <t>(1'* B14 + 1'* C14) * 1</t>
  </si>
  <si>
    <t>Y14 = F14 + A14 + E14</t>
  </si>
  <si>
    <t>1'* x14 + 1'*(C14 * 1 + φ14 + α14 + ε14)</t>
  </si>
  <si>
    <t>1'* B15 + 1'* C15</t>
  </si>
  <si>
    <t>(1'* B15 + 1'* C15) * 1</t>
  </si>
  <si>
    <t>Y15</t>
  </si>
  <si>
    <t>1'* x15 + C15 * 1 + φ15 + α15 + ε15</t>
  </si>
  <si>
    <t>H11 = Ḣ10&lt;x11&gt;</t>
  </si>
  <si>
    <t>H11 * 1</t>
  </si>
  <si>
    <t>H12 = Ḣ10&lt;x12&gt;</t>
  </si>
  <si>
    <t>H12 * 1</t>
  </si>
  <si>
    <t>H13 = Ḣ15&lt;x13&gt;</t>
  </si>
  <si>
    <t>H13 * 1</t>
  </si>
  <si>
    <t>H14 = Ḣ15&lt;x14&gt;</t>
  </si>
  <si>
    <t>H14 * 1</t>
  </si>
  <si>
    <t>H15</t>
  </si>
  <si>
    <t>H15 * 1</t>
  </si>
  <si>
    <t>1'* H11</t>
  </si>
  <si>
    <t>1' * H11 * 1</t>
  </si>
  <si>
    <t>1'* H12</t>
  </si>
  <si>
    <t>1' * H12 * 1</t>
  </si>
  <si>
    <t>1'* H13</t>
  </si>
  <si>
    <t>1' * H13 * 1</t>
  </si>
  <si>
    <t>1'* H14</t>
  </si>
  <si>
    <t>1' * H14 * 1</t>
  </si>
  <si>
    <t>1'* H15</t>
  </si>
  <si>
    <t>1' * H15 * 1</t>
  </si>
  <si>
    <t>x11 = (Q10 * y11)'</t>
  </si>
  <si>
    <t>x11' * 1</t>
  </si>
  <si>
    <t>x12 = (Q10 * y12)'</t>
  </si>
  <si>
    <t>x12' * 1</t>
  </si>
  <si>
    <t>x13 = (Q15 * y13)'</t>
  </si>
  <si>
    <t>x13' * 1</t>
  </si>
  <si>
    <t>x14 = (Q15 * y14)'</t>
  </si>
  <si>
    <t>x14' * 1</t>
  </si>
  <si>
    <t>x15'</t>
  </si>
  <si>
    <t>x15' * 1</t>
  </si>
  <si>
    <t>F11</t>
  </si>
  <si>
    <t>A11</t>
  </si>
  <si>
    <t>E11</t>
  </si>
  <si>
    <t>F12</t>
  </si>
  <si>
    <t>A12</t>
  </si>
  <si>
    <t>E12</t>
  </si>
  <si>
    <t>F13</t>
  </si>
  <si>
    <t>A13</t>
  </si>
  <si>
    <t>E13</t>
  </si>
  <si>
    <t>F14</t>
  </si>
  <si>
    <t>A14</t>
  </si>
  <si>
    <t>E14</t>
  </si>
  <si>
    <t>F15</t>
  </si>
  <si>
    <t>A15</t>
  </si>
  <si>
    <t>E15</t>
  </si>
  <si>
    <t>B16 = Ḃ15&lt;x16&gt;</t>
  </si>
  <si>
    <t>B16 * 1</t>
  </si>
  <si>
    <t>f16 = (1/F15) * f15 * F16</t>
  </si>
  <si>
    <t>a16 = (1/A15) * a15 * A16</t>
  </si>
  <si>
    <t>e16 = (1/E15) * e15 * E16</t>
  </si>
  <si>
    <t>y16 = f16 + a16 + e16</t>
  </si>
  <si>
    <t>x16 = Q15 * y16</t>
  </si>
  <si>
    <t>1'* B16</t>
  </si>
  <si>
    <t>1' * B16 * 1</t>
  </si>
  <si>
    <t>1'* f16</t>
  </si>
  <si>
    <t>1'* a16</t>
  </si>
  <si>
    <t>1'* e16</t>
  </si>
  <si>
    <t>1'* y16</t>
  </si>
  <si>
    <t>1'* x16</t>
  </si>
  <si>
    <t>C16 = Ċ15&lt;x16&gt;</t>
  </si>
  <si>
    <t>C16 * 1</t>
  </si>
  <si>
    <t>φ16 = (1/F15) *φ15 * F16</t>
  </si>
  <si>
    <t>α16 = (1/A15) * α15 * A16</t>
  </si>
  <si>
    <t>ε16 = (1/E15) * ε15 * E16</t>
  </si>
  <si>
    <t>φ16 + α16 + ε16</t>
  </si>
  <si>
    <t>C16 * 1 + φ16 + α16 + ε16</t>
  </si>
  <si>
    <t>1'* B16 + 1'* C16</t>
  </si>
  <si>
    <t>(1'* B16 + 1'* C16) * 1</t>
  </si>
  <si>
    <t>Y16 = F16 + A16 + E16</t>
  </si>
  <si>
    <t>1'* x16 + 1'*(C16 * 1 + φ16 + α16 + ε16)</t>
  </si>
  <si>
    <t>H16 = Ḣ15&lt;x16&gt;</t>
  </si>
  <si>
    <t>H16 * 1</t>
  </si>
  <si>
    <t>1'* H16</t>
  </si>
  <si>
    <t>1' * H16 * 1</t>
  </si>
  <si>
    <t>x16 = (Q15 * y16)'</t>
  </si>
  <si>
    <t>x16' * 1</t>
  </si>
  <si>
    <t>F16</t>
  </si>
  <si>
    <t>A16</t>
  </si>
  <si>
    <t>E16</t>
  </si>
  <si>
    <t>B17 = Ḃ15&lt;x17&gt;</t>
  </si>
  <si>
    <t>B17 * 1</t>
  </si>
  <si>
    <t>f17 = (1/F15) * f15 * F17</t>
  </si>
  <si>
    <t>a17 = (1/A15) * a15 * A17</t>
  </si>
  <si>
    <t>e17 = (1/E15) * e15 * E17</t>
  </si>
  <si>
    <t>y17 = f17 + a17 + e17</t>
  </si>
  <si>
    <t>x17 = Q15 * y17</t>
  </si>
  <si>
    <t>1'* B17</t>
  </si>
  <si>
    <t>1' * B17 * 1</t>
  </si>
  <si>
    <t>1'* f17</t>
  </si>
  <si>
    <t>1'* a17</t>
  </si>
  <si>
    <t>1'* e17</t>
  </si>
  <si>
    <t>1'* y17</t>
  </si>
  <si>
    <t>1'* x17</t>
  </si>
  <si>
    <t>C17 = Ċ15&lt;x17&gt;</t>
  </si>
  <si>
    <t>C17 * 1</t>
  </si>
  <si>
    <t>φ17 = (1/F15) *φ15 * F17</t>
  </si>
  <si>
    <t>α17 = (1/A15) * α15 * A17</t>
  </si>
  <si>
    <t>ε17 = (1/E15) * ε15 * E17</t>
  </si>
  <si>
    <t>φ17 + α17 + ε17</t>
  </si>
  <si>
    <t>C17 * 1 + φ17 + α17 + ε17</t>
  </si>
  <si>
    <t>1'* B17 + 1'* C17</t>
  </si>
  <si>
    <t>(1'* B17 + 1'* C17) * 1</t>
  </si>
  <si>
    <t>Y17 = F17 + A17 + E17</t>
  </si>
  <si>
    <t>1'* x17 + 1'*(C17 * 1 + φ17 + α17 + ε17)</t>
  </si>
  <si>
    <t>H17 = Ḣ15&lt;x17&gt;</t>
  </si>
  <si>
    <t>H17 * 1</t>
  </si>
  <si>
    <t>1'* H17</t>
  </si>
  <si>
    <t>1' * H17 * 1</t>
  </si>
  <si>
    <t>x17 = (Q15 * y17)'</t>
  </si>
  <si>
    <t>x17' * 1</t>
  </si>
  <si>
    <t>F17</t>
  </si>
  <si>
    <t>A17</t>
  </si>
  <si>
    <t>E17</t>
  </si>
  <si>
    <t>B18 = Ḃ20&lt;x18&gt;</t>
  </si>
  <si>
    <t>B18 * 1</t>
  </si>
  <si>
    <t>f18 = (1/F20) * f20 * F18</t>
  </si>
  <si>
    <t>a18 = (1/A20) * a20 * A18</t>
  </si>
  <si>
    <t>e18 = (1/E20) * e20 * E18</t>
  </si>
  <si>
    <t>y18 = f18 + a18 + e18</t>
  </si>
  <si>
    <t>x18 = Q20 * y18</t>
  </si>
  <si>
    <t>1'* B18</t>
  </si>
  <si>
    <t>1' * B18 * 1</t>
  </si>
  <si>
    <t>1'* f18</t>
  </si>
  <si>
    <t>1'* a18</t>
  </si>
  <si>
    <t>1'* e18</t>
  </si>
  <si>
    <t>1'* y18</t>
  </si>
  <si>
    <t>1'* x18</t>
  </si>
  <si>
    <t>C18 = Ċ20&lt;x18&gt;</t>
  </si>
  <si>
    <t>C18 * 1</t>
  </si>
  <si>
    <t>φ18 = (1/F20) *φ20 * F18</t>
  </si>
  <si>
    <t>α18 = (1/A20) * α20 * A18</t>
  </si>
  <si>
    <t>ε18 = (1/E20) * ε20 * E18</t>
  </si>
  <si>
    <t>φ18 + α18 + ε18</t>
  </si>
  <si>
    <t>C18 * 1 + φ18 + α18 + ε18</t>
  </si>
  <si>
    <t>1'* B18 + 1'* C18</t>
  </si>
  <si>
    <t>(1'* B18 + 1'* C18) * 1</t>
  </si>
  <si>
    <t>F18</t>
  </si>
  <si>
    <t>A18</t>
  </si>
  <si>
    <t>E18</t>
  </si>
  <si>
    <t>Y18 = F18 + A18 + E18</t>
  </si>
  <si>
    <t>1'* x18 + 1'*(C18 * 1 + φ18 + α18 + ε18)</t>
  </si>
  <si>
    <t>H18 = Ḣ20&lt;x18&gt;</t>
  </si>
  <si>
    <t>H18 * 1</t>
  </si>
  <si>
    <t>1'* H18</t>
  </si>
  <si>
    <t>1' * H18 * 1</t>
  </si>
  <si>
    <t>x18 = (Q20 * y18)'</t>
  </si>
  <si>
    <t>x18' * 1</t>
  </si>
  <si>
    <t>B19 = Ḃ20&lt;x19&gt;</t>
  </si>
  <si>
    <t>B19 * 1</t>
  </si>
  <si>
    <t>f19 = (1/F20) * f20 * F19</t>
  </si>
  <si>
    <t>a19 = (1/A20) * a20 * A19</t>
  </si>
  <si>
    <t>e19 = (1/E20) * e20 * E19</t>
  </si>
  <si>
    <t>y19 = f19 + a19 + e19</t>
  </si>
  <si>
    <t>x19 = Q20 * y19</t>
  </si>
  <si>
    <t>1'* B19</t>
  </si>
  <si>
    <t>1' * B19 * 1</t>
  </si>
  <si>
    <t>1'* f19</t>
  </si>
  <si>
    <t>1'* a19</t>
  </si>
  <si>
    <t>1'* e19</t>
  </si>
  <si>
    <t>1'* y19</t>
  </si>
  <si>
    <t>1'* x19</t>
  </si>
  <si>
    <t>C19 = Ċ20&lt;x19&gt;</t>
  </si>
  <si>
    <t>C19 * 1</t>
  </si>
  <si>
    <t>φ19 = (1/F20) *φ20 * F19</t>
  </si>
  <si>
    <t>α19 = (1/A20) * α20 * A19</t>
  </si>
  <si>
    <t>ε19 = (1/E20) * ε20 * E19</t>
  </si>
  <si>
    <t>φ19 + α19 + ε19</t>
  </si>
  <si>
    <t>C19 * 1 + φ19 + α19 + ε19</t>
  </si>
  <si>
    <t>1'* B19 + 1'* C19</t>
  </si>
  <si>
    <t>(1'* B19 + 1'* C19) * 1</t>
  </si>
  <si>
    <t>F19</t>
  </si>
  <si>
    <t>A19</t>
  </si>
  <si>
    <t>E19</t>
  </si>
  <si>
    <t>Y19 = F19 + A19 + E19</t>
  </si>
  <si>
    <t>1'* x19 + 1'*(C19 * 1 + φ19 + α19 + ε19)</t>
  </si>
  <si>
    <t>H19 = Ḣ20&lt;x19&gt;</t>
  </si>
  <si>
    <t>H19 * 1</t>
  </si>
  <si>
    <t>1'* H19</t>
  </si>
  <si>
    <t>1' * H19 * 1</t>
  </si>
  <si>
    <t>x19 = (Q20 * y19)'</t>
  </si>
  <si>
    <t>x19' * 1</t>
  </si>
  <si>
    <t>F20</t>
  </si>
  <si>
    <t>A20</t>
  </si>
  <si>
    <t>E20</t>
  </si>
  <si>
    <t>B20</t>
  </si>
  <si>
    <t>B20 * 1</t>
  </si>
  <si>
    <t>f20</t>
  </si>
  <si>
    <t>a20</t>
  </si>
  <si>
    <t>e20</t>
  </si>
  <si>
    <t>y20</t>
  </si>
  <si>
    <t>x20</t>
  </si>
  <si>
    <t>1'* B20</t>
  </si>
  <si>
    <t>1' * B20 * 1</t>
  </si>
  <si>
    <t>1'* f20</t>
  </si>
  <si>
    <t>1'* a20</t>
  </si>
  <si>
    <t>1'* e20</t>
  </si>
  <si>
    <t>1'* y20</t>
  </si>
  <si>
    <t>1'* x20</t>
  </si>
  <si>
    <t>C20</t>
  </si>
  <si>
    <t>C20 * 1</t>
  </si>
  <si>
    <t>φ20</t>
  </si>
  <si>
    <t>α20</t>
  </si>
  <si>
    <t>ε20</t>
  </si>
  <si>
    <t>φ20 + α20 + ε20</t>
  </si>
  <si>
    <t>C20 * 1 + φ20 + α20 + ε20</t>
  </si>
  <si>
    <t>1'* B20 + 1'* C20</t>
  </si>
  <si>
    <t>(1'* B20 + 1'* C20) * 1</t>
  </si>
  <si>
    <t>Y20</t>
  </si>
  <si>
    <t>1'* x20 + C20 * 1 + φ20 + α20 + ε20</t>
  </si>
  <si>
    <t>H20</t>
  </si>
  <si>
    <t>H20 * 1</t>
  </si>
  <si>
    <t>1'* H20</t>
  </si>
  <si>
    <t>1' * H20 * 1</t>
  </si>
  <si>
    <t>x20'</t>
  </si>
  <si>
    <t>x20' * 1</t>
  </si>
  <si>
    <t>B21 = Ḃ20&lt;x21&gt;</t>
  </si>
  <si>
    <t>B21 * 1</t>
  </si>
  <si>
    <t>f21 = (1/F20) * f20 * F21</t>
  </si>
  <si>
    <t>a21 = (1/A20) * a20 * A21</t>
  </si>
  <si>
    <t>e21 = (1/E20) * e20 * E21</t>
  </si>
  <si>
    <t>y21 = f21 + a21 + e21</t>
  </si>
  <si>
    <t>x21 = Q20 * y21</t>
  </si>
  <si>
    <t>1'* B21</t>
  </si>
  <si>
    <t>1' * B21 * 1</t>
  </si>
  <si>
    <t>1'* f21</t>
  </si>
  <si>
    <t>1'* a21</t>
  </si>
  <si>
    <t>1'* e21</t>
  </si>
  <si>
    <t>1'* y21</t>
  </si>
  <si>
    <t>1'* x21</t>
  </si>
  <si>
    <t>C21 = Ċ20&lt;x21&gt;</t>
  </si>
  <si>
    <t>C21 * 1</t>
  </si>
  <si>
    <t>φ21 = (1/F20) *φ20 * F21</t>
  </si>
  <si>
    <t>α21 = (1/A20) * α20 * A21</t>
  </si>
  <si>
    <t>ε21 = (1/E20) * ε20 * E21</t>
  </si>
  <si>
    <t>φ21 + α21 + ε21</t>
  </si>
  <si>
    <t>C21 * 1 + φ21 + α21 + ε21</t>
  </si>
  <si>
    <t>1'* B21 + 1'* C21</t>
  </si>
  <si>
    <t>(1'* B21 + 1'* C21) * 1</t>
  </si>
  <si>
    <t>F21</t>
  </si>
  <si>
    <t>A21</t>
  </si>
  <si>
    <t>E21</t>
  </si>
  <si>
    <t>Y21 = F21 + A21 + E21</t>
  </si>
  <si>
    <t>1'* x21 + 1'*(C21 * 1 + φ21 + α21 + ε21)</t>
  </si>
  <si>
    <t>H21 = Ḣ20&lt;x21&gt;</t>
  </si>
  <si>
    <t>H21 * 1</t>
  </si>
  <si>
    <t>1'* H21</t>
  </si>
  <si>
    <t>1' * H21 * 1</t>
  </si>
  <si>
    <t>x21 = (Q20 * y21)'</t>
  </si>
  <si>
    <t>x21' * 1</t>
  </si>
  <si>
    <t>B22 = Ḃ20&lt;x22&gt;</t>
  </si>
  <si>
    <t>B22 * 1</t>
  </si>
  <si>
    <t>f22 = (1/F20) * f20 * F22</t>
  </si>
  <si>
    <t>a22 = (1/A20) * a20 * A22</t>
  </si>
  <si>
    <t>e22 = (1/E20) * e20 * E22</t>
  </si>
  <si>
    <t>y22 = f22 + a22 + e22</t>
  </si>
  <si>
    <t>x22 = Q20 * y22</t>
  </si>
  <si>
    <t>1'* B22</t>
  </si>
  <si>
    <t>1' * B22 * 1</t>
  </si>
  <si>
    <t>1'* f22</t>
  </si>
  <si>
    <t>1'* a22</t>
  </si>
  <si>
    <t>1'* e22</t>
  </si>
  <si>
    <t>1'* y22</t>
  </si>
  <si>
    <t>1'* x22</t>
  </si>
  <si>
    <t>C22 = Ċ20&lt;x22&gt;</t>
  </si>
  <si>
    <t>C22 * 1</t>
  </si>
  <si>
    <t>φ22 = (1/F20) *φ20 * F22</t>
  </si>
  <si>
    <t>α22 = (1/A20) * α20 * A22</t>
  </si>
  <si>
    <t>ε22 = (1/E20) * ε20 * E22</t>
  </si>
  <si>
    <t>φ22 + α22 + ε22</t>
  </si>
  <si>
    <t>C22 * 1 + φ22 + α22 + ε22</t>
  </si>
  <si>
    <t>1'* B22 + 1'* C22</t>
  </si>
  <si>
    <t>(1'* B22 + 1'* C22) * 1</t>
  </si>
  <si>
    <t>F22</t>
  </si>
  <si>
    <t>A22</t>
  </si>
  <si>
    <t>E22</t>
  </si>
  <si>
    <t>Y22 = F22 + A22 + E22</t>
  </si>
  <si>
    <t>1'* x22 + 1'*(C22 * 1 + φ22 + α22 + ε22)</t>
  </si>
  <si>
    <t>H22 = Ḣ20&lt;x22&gt;</t>
  </si>
  <si>
    <t>H22 * 1</t>
  </si>
  <si>
    <t>1'* H22</t>
  </si>
  <si>
    <t>1' * H22 * 1</t>
  </si>
  <si>
    <t>x22 = (Q20 * y22)'</t>
  </si>
  <si>
    <t>x22' * 1</t>
  </si>
  <si>
    <t>B23 = Ḃ20&lt;x23&gt;</t>
  </si>
  <si>
    <t>B23 * 1</t>
  </si>
  <si>
    <t>f23 = (1/F20) * f20 * F23</t>
  </si>
  <si>
    <t>a23 = (1/A20) * a20 * A23</t>
  </si>
  <si>
    <t>e23 = (1/E20) * e20 * E23</t>
  </si>
  <si>
    <t>y23 = f23 + a23 + e23</t>
  </si>
  <si>
    <t>x23 = Q20 * y23</t>
  </si>
  <si>
    <t>1'* B23</t>
  </si>
  <si>
    <t>1' * B23 * 1</t>
  </si>
  <si>
    <t>1'* f23</t>
  </si>
  <si>
    <t>1'* a23</t>
  </si>
  <si>
    <t>1'* e23</t>
  </si>
  <si>
    <t>1'* y23</t>
  </si>
  <si>
    <t>1'* x23</t>
  </si>
  <si>
    <t>C23 = Ċ20&lt;x23&gt;</t>
  </si>
  <si>
    <t>C23 * 1</t>
  </si>
  <si>
    <t>φ23 = (1/F20) *φ20 * F23</t>
  </si>
  <si>
    <t>α23 = (1/A20) * α20 * A23</t>
  </si>
  <si>
    <t>ε23 = (1/E20) * ε20 * E23</t>
  </si>
  <si>
    <t>φ23 + α23 + ε23</t>
  </si>
  <si>
    <t>C23 * 1 + φ23 + α23 + ε23</t>
  </si>
  <si>
    <t>1'* B23 + 1'* C23</t>
  </si>
  <si>
    <t>(1'* B23 + 1'* C23) * 1</t>
  </si>
  <si>
    <t>F23</t>
  </si>
  <si>
    <t>A23</t>
  </si>
  <si>
    <t>E23</t>
  </si>
  <si>
    <t>Y23 = F23 + A23 + E23</t>
  </si>
  <si>
    <t>1'* x23 + 1'*(C23 * 1 + φ23 + α23 + ε23)</t>
  </si>
  <si>
    <t>H23 = Ḣ20&lt;x23&gt;</t>
  </si>
  <si>
    <t>H23 * 1</t>
  </si>
  <si>
    <t>1'* H23</t>
  </si>
  <si>
    <t>1' * H23 * 1</t>
  </si>
  <si>
    <t>x23 = (Q20 * y23)'</t>
  </si>
  <si>
    <t>x23' * 1</t>
  </si>
  <si>
    <t>B24 = Ḃ20&lt;x24&gt;</t>
  </si>
  <si>
    <t>B24 * 1</t>
  </si>
  <si>
    <t>f24 = (1/F20) * f20 * F24</t>
  </si>
  <si>
    <t>a24 = (1/A20) * a20 * A24</t>
  </si>
  <si>
    <t>e24 = (1/E20) * e20 * E24</t>
  </si>
  <si>
    <t>y24 = f24 + a24 + e24</t>
  </si>
  <si>
    <t>x24 = Q20 * y24</t>
  </si>
  <si>
    <t>1'* B24</t>
  </si>
  <si>
    <t>1' * B24 * 1</t>
  </si>
  <si>
    <t>1'* f24</t>
  </si>
  <si>
    <t>1'* a24</t>
  </si>
  <si>
    <t>1'* e24</t>
  </si>
  <si>
    <t>1'* y24</t>
  </si>
  <si>
    <t>1'* x24</t>
  </si>
  <si>
    <t>C24 = Ċ20&lt;x24&gt;</t>
  </si>
  <si>
    <t>C24 * 1</t>
  </si>
  <si>
    <t>φ24 = (1/F20) *φ20 * F24</t>
  </si>
  <si>
    <t>α24 = (1/A20) * α20 * A24</t>
  </si>
  <si>
    <t>ε24 = (1/E20) * ε20 * E24</t>
  </si>
  <si>
    <t>φ24 + α24 + ε24</t>
  </si>
  <si>
    <t>C24 * 1 + φ24 + α24 + ε24</t>
  </si>
  <si>
    <t>1'* B24 + 1'* C24</t>
  </si>
  <si>
    <t>(1'* B24 + 1'* C24) * 1</t>
  </si>
  <si>
    <t>F24</t>
  </si>
  <si>
    <t>A24</t>
  </si>
  <si>
    <t>E24</t>
  </si>
  <si>
    <t>Y24 = F24 + A24 + E24</t>
  </si>
  <si>
    <t>1'* x24 + 1'*(C24 * 1 + φ24 + α24 + ε24)</t>
  </si>
  <si>
    <t>H24 = Ḣ20&lt;x24&gt;</t>
  </si>
  <si>
    <t>H24 * 1</t>
  </si>
  <si>
    <t>1'* H24</t>
  </si>
  <si>
    <t>1' * H24 * 1</t>
  </si>
  <si>
    <t>x24 = (Q20 * y24)'</t>
  </si>
  <si>
    <t>x24' * 1</t>
  </si>
  <si>
    <t>B25 = Ḃ20&lt;x25&gt;</t>
  </si>
  <si>
    <t>B25 * 1</t>
  </si>
  <si>
    <t>f25 = (1/F20) * f20 * F25</t>
  </si>
  <si>
    <t>a25 = (1/A20) * a20 * A25</t>
  </si>
  <si>
    <t>e25 = (1/E20) * e20 * E25</t>
  </si>
  <si>
    <t>y25 = f25 + a25 + e25</t>
  </si>
  <si>
    <t>x25 = Q20 * y25</t>
  </si>
  <si>
    <t>1'* B25</t>
  </si>
  <si>
    <t>1' * B25 * 1</t>
  </si>
  <si>
    <t>1'* f25</t>
  </si>
  <si>
    <t>1'* a25</t>
  </si>
  <si>
    <t>1'* e25</t>
  </si>
  <si>
    <t>1'* y25</t>
  </si>
  <si>
    <t>1'* x25</t>
  </si>
  <si>
    <t>C25 = Ċ20&lt;x25&gt;</t>
  </si>
  <si>
    <t>C25 * 1</t>
  </si>
  <si>
    <t>φ25 = (1/F20) *φ20 * F25</t>
  </si>
  <si>
    <t>α25 = (1/A20) * α20 * A25</t>
  </si>
  <si>
    <t>ε25 = (1/E20) * ε20 * E25</t>
  </si>
  <si>
    <t>φ25 + α25 + ε25</t>
  </si>
  <si>
    <t>C25 * 1 + φ25 + α25 + ε25</t>
  </si>
  <si>
    <t>1'* B25 + 1'* C25</t>
  </si>
  <si>
    <t>(1'* B25 + 1'* C25) * 1</t>
  </si>
  <si>
    <t>F25</t>
  </si>
  <si>
    <t>A25</t>
  </si>
  <si>
    <t>E25</t>
  </si>
  <si>
    <t>Y25 = F25 + A25 + E25</t>
  </si>
  <si>
    <t>1'* x25 + 1'*(C25 * 1 + φ25 + α25 + ε25)</t>
  </si>
  <si>
    <t>H25 = Ḣ20&lt;x25&gt;</t>
  </si>
  <si>
    <t>H25 * 1</t>
  </si>
  <si>
    <t>1'* H25</t>
  </si>
  <si>
    <t>1' * H25 * 1</t>
  </si>
  <si>
    <t>x25 = (Q20 * y25)'</t>
  </si>
  <si>
    <t>x25' * 1</t>
  </si>
  <si>
    <t>F11 * 1</t>
  </si>
  <si>
    <t>1' * F11</t>
  </si>
  <si>
    <t>1' * F11 * 1</t>
  </si>
  <si>
    <t>E11 * 1</t>
  </si>
  <si>
    <t>1' * E11</t>
  </si>
  <si>
    <t>1' * E11 * 1</t>
  </si>
  <si>
    <t>F12 * 1</t>
  </si>
  <si>
    <t>1' * F12</t>
  </si>
  <si>
    <t>1' * F12 * 1</t>
  </si>
  <si>
    <t>E12 * 1</t>
  </si>
  <si>
    <t>1' * E12</t>
  </si>
  <si>
    <t>1' * E12 * 1</t>
  </si>
  <si>
    <t>F13 * 1</t>
  </si>
  <si>
    <t>1' * F13</t>
  </si>
  <si>
    <t>1' * F13 * 1</t>
  </si>
  <si>
    <t>E13 * 1</t>
  </si>
  <si>
    <t>1' * E13</t>
  </si>
  <si>
    <t>1' * E13 * 1</t>
  </si>
  <si>
    <t>F14 * 1</t>
  </si>
  <si>
    <t>1' * F14</t>
  </si>
  <si>
    <t>1' * F14 * 1</t>
  </si>
  <si>
    <t>E14 * 1</t>
  </si>
  <si>
    <t>1' * E14</t>
  </si>
  <si>
    <t>1' * E14 * 1</t>
  </si>
  <si>
    <t>F16 * 1</t>
  </si>
  <si>
    <t>1' * F16</t>
  </si>
  <si>
    <t>1' * F16 * 1</t>
  </si>
  <si>
    <t>E16 * 1</t>
  </si>
  <si>
    <t>1' * E16</t>
  </si>
  <si>
    <t>1' * E16 * 1</t>
  </si>
  <si>
    <t>F17 * 1</t>
  </si>
  <si>
    <t>1' * F17</t>
  </si>
  <si>
    <t>1' * F17 * 1</t>
  </si>
  <si>
    <t>E17 * 1</t>
  </si>
  <si>
    <t>1' * E17</t>
  </si>
  <si>
    <t>1' * E17 * 1</t>
  </si>
  <si>
    <t>F18 * 1</t>
  </si>
  <si>
    <t>1' * F18</t>
  </si>
  <si>
    <t>1' * F18 * 1</t>
  </si>
  <si>
    <t>E18 * 1</t>
  </si>
  <si>
    <t>1' * E18</t>
  </si>
  <si>
    <t>1' * E18 * 1</t>
  </si>
  <si>
    <t>F19 * 1</t>
  </si>
  <si>
    <t>1' * F19</t>
  </si>
  <si>
    <t>1' * F19 * 1</t>
  </si>
  <si>
    <t>E19 * 1</t>
  </si>
  <si>
    <t>1' * E19</t>
  </si>
  <si>
    <t>1' * E19 * 1</t>
  </si>
  <si>
    <t>Ḟ11 = F11 &lt;x11&gt;-1</t>
  </si>
  <si>
    <t>(1/x11' * 1) * F11 * 1</t>
  </si>
  <si>
    <t>1' * F11 &lt;x11&gt;-1</t>
  </si>
  <si>
    <t>1' * ((1/x11' * 1) * (F11 * 1))</t>
  </si>
  <si>
    <t>Ė11 = E11 &lt;x11&gt;-1</t>
  </si>
  <si>
    <t>(1/x11' * 1) * E11 * 1</t>
  </si>
  <si>
    <t>1' * E11 &lt;x11&gt;-1</t>
  </si>
  <si>
    <t>1' * ((1/x11' * 1) * (E11 * 1))</t>
  </si>
  <si>
    <t>Ḟ12 = F12 &lt;x12&gt;-1</t>
  </si>
  <si>
    <t>(1/x12' * 1) * F12 * 1</t>
  </si>
  <si>
    <t>1' * F12 &lt;x12&gt;-1</t>
  </si>
  <si>
    <t>1' * ((1/x12' * 1) * (F12 * 1))</t>
  </si>
  <si>
    <t>Ė12 = E12 &lt;x12&gt;-1</t>
  </si>
  <si>
    <t>(1/x12' * 1) * E12 * 1</t>
  </si>
  <si>
    <t>1' * E12 &lt;x12&gt;-1</t>
  </si>
  <si>
    <t>1' * ((1/x12' * 1) * (E12 * 1))</t>
  </si>
  <si>
    <t>Ḟ13 = F13 &lt;x13&gt;-1</t>
  </si>
  <si>
    <t>(1/x13' * 1) * F13 * 1</t>
  </si>
  <si>
    <t>1' * F13 &lt;x13&gt;-1</t>
  </si>
  <si>
    <t>1' * ((1/x13' * 1) * (F13 * 1))</t>
  </si>
  <si>
    <t>Ė13 = E13 &lt;x13&gt;-1</t>
  </si>
  <si>
    <t>(1/x13' * 1) * E13 * 1</t>
  </si>
  <si>
    <t>1' * E13 &lt;x13&gt;-1</t>
  </si>
  <si>
    <t>1' * ((1/x13' * 1) * (E13 * 1))</t>
  </si>
  <si>
    <t>Ḟ14 = F14 &lt;x14&gt;-1</t>
  </si>
  <si>
    <t>(1/x14' * 1) * F14 * 1</t>
  </si>
  <si>
    <t>1' * F14 &lt;x14&gt;-1</t>
  </si>
  <si>
    <t>1' * ((1/x14' * 1) * (F14 * 1))</t>
  </si>
  <si>
    <t>Ė14 = E14 &lt;x14&gt;-1</t>
  </si>
  <si>
    <t>(1/x14' * 1) * E14 * 1</t>
  </si>
  <si>
    <t>1' * E14 &lt;x14&gt;-1</t>
  </si>
  <si>
    <t>1' * ((1/x14' * 1) * (E14 * 1))</t>
  </si>
  <si>
    <t>Ḟ15 = F15 &lt;x15&gt;-1</t>
  </si>
  <si>
    <t>(1/x15' * 1) * F15 * 1</t>
  </si>
  <si>
    <t>1' * F15 &lt;x15&gt;-1</t>
  </si>
  <si>
    <t>1' * ((1/x15' * 1) * (F15 * 1))</t>
  </si>
  <si>
    <t>Ė15 = E15 &lt;x15&gt;-1</t>
  </si>
  <si>
    <t>(1/x15' * 1) * E15 * 1</t>
  </si>
  <si>
    <t>1' * E15 &lt;x15&gt;-1</t>
  </si>
  <si>
    <t>1' * ((1/x15' * 1) * (E15 * 1))</t>
  </si>
  <si>
    <t>Ḟ16 = F16 &lt;x16&gt;-1</t>
  </si>
  <si>
    <t>(1/x16' * 1) * F16 * 1</t>
  </si>
  <si>
    <t>1' * F16 &lt;x16&gt;-1</t>
  </si>
  <si>
    <t>1' * ((1/x16' * 1) * (F16 * 1))</t>
  </si>
  <si>
    <t>Ė16 = E16 &lt;x16&gt;-1</t>
  </si>
  <si>
    <t>(1/x16' * 1) * E16 * 1</t>
  </si>
  <si>
    <t>1' * E16 &lt;x16&gt;-1</t>
  </si>
  <si>
    <t>1' * ((1/x16' * 1) * (E16 * 1))</t>
  </si>
  <si>
    <t>Ḟ17 = F17 &lt;x17&gt;-1</t>
  </si>
  <si>
    <t>(1/x17' * 1) * F17 * 1</t>
  </si>
  <si>
    <t>1' * F17 &lt;x17&gt;-1</t>
  </si>
  <si>
    <t>1' * ((1/x17' * 1) * (F17 * 1))</t>
  </si>
  <si>
    <t>Ė17 = E17 &lt;x17&gt;-1</t>
  </si>
  <si>
    <t>(1/x17' * 1) * E17 * 1</t>
  </si>
  <si>
    <t>1' * E17 &lt;x17&gt;-1</t>
  </si>
  <si>
    <t>1' * ((1/x17' * 1) * (E17 * 1))</t>
  </si>
  <si>
    <t>Ḟ18 = F18 &lt;x18&gt;-1</t>
  </si>
  <si>
    <t>(1/x18' * 1) * F18 * 1</t>
  </si>
  <si>
    <t>1' * F18 &lt;x18&gt;-1</t>
  </si>
  <si>
    <t>1' * ((1/x18' * 1) * (F18 * 1))</t>
  </si>
  <si>
    <t>Ė18 = E18 &lt;x18&gt;-1</t>
  </si>
  <si>
    <t>(1/x18' * 1) * E18 * 1</t>
  </si>
  <si>
    <t>1' * E18 &lt;x18&gt;-1</t>
  </si>
  <si>
    <t>1' * ((1/x18' * 1) * (E18 * 1))</t>
  </si>
  <si>
    <t>Ḟ19 = F19 &lt;x19&gt;-1</t>
  </si>
  <si>
    <t>(1/x19' * 1) * F19 * 1</t>
  </si>
  <si>
    <t>1' * F19 &lt;x19&gt;-1</t>
  </si>
  <si>
    <t>1' * ((1/x19' * 1) * (F19 * 1))</t>
  </si>
  <si>
    <t>Ė19 = E19 &lt;x19&gt;-1</t>
  </si>
  <si>
    <t>(1/x19' * 1) * E19 * 1</t>
  </si>
  <si>
    <t>1' * E19 &lt;x19&gt;-1</t>
  </si>
  <si>
    <t>1' * ((1/x19' * 1) * (E19 * 1))</t>
  </si>
  <si>
    <t>x11'</t>
  </si>
  <si>
    <t>x12'</t>
  </si>
  <si>
    <t>x13'</t>
  </si>
  <si>
    <t>x14'</t>
  </si>
  <si>
    <t>x16'</t>
  </si>
  <si>
    <t>x17'</t>
  </si>
  <si>
    <t>x18'</t>
  </si>
  <si>
    <t>x19'</t>
  </si>
  <si>
    <t>x21'</t>
  </si>
  <si>
    <t>x22'</t>
  </si>
  <si>
    <t>x23'</t>
  </si>
  <si>
    <t>x24'</t>
  </si>
  <si>
    <t>x25'</t>
  </si>
  <si>
    <t>Ḟ12d</t>
  </si>
  <si>
    <t>1' * Ḟ12d</t>
  </si>
  <si>
    <t>Ė12d</t>
  </si>
  <si>
    <t>1' * Ė12d</t>
  </si>
  <si>
    <t>Ḟ13u</t>
  </si>
  <si>
    <t>1' * Ḟ13u</t>
  </si>
  <si>
    <t>Ė13u</t>
  </si>
  <si>
    <t>1' * Ė13u</t>
  </si>
  <si>
    <t>Ḟ13d</t>
  </si>
  <si>
    <t>1' * Ḟ13d</t>
  </si>
  <si>
    <t>Ė13d</t>
  </si>
  <si>
    <t>1' * Ė13d</t>
  </si>
  <si>
    <t>Ḟ14u</t>
  </si>
  <si>
    <t>1' * Ḟ14u</t>
  </si>
  <si>
    <t>Ė14u</t>
  </si>
  <si>
    <t>1' * Ė14u</t>
  </si>
  <si>
    <t>Ḟ14d</t>
  </si>
  <si>
    <t>1' * Ḟ14d</t>
  </si>
  <si>
    <t>Ė14d</t>
  </si>
  <si>
    <t>1' * Ė14d</t>
  </si>
  <si>
    <t>Ḟ15u</t>
  </si>
  <si>
    <t>1' * Ḟ15u</t>
  </si>
  <si>
    <t>Ė15u</t>
  </si>
  <si>
    <t>1' * Ė15u</t>
  </si>
  <si>
    <t>Ḟ15d</t>
  </si>
  <si>
    <t>1' * Ḟ15d</t>
  </si>
  <si>
    <t>Ė15d</t>
  </si>
  <si>
    <t>1' * Ė15d</t>
  </si>
  <si>
    <t>Ḟ11u</t>
  </si>
  <si>
    <t>1' * Ḟ11u</t>
  </si>
  <si>
    <t>Ė11u</t>
  </si>
  <si>
    <t>1' * Ė11u</t>
  </si>
  <si>
    <t>Ḟ16u</t>
  </si>
  <si>
    <t>1' * Ḟ16u</t>
  </si>
  <si>
    <t>Ė16u</t>
  </si>
  <si>
    <t>1' * Ė16u</t>
  </si>
  <si>
    <t>Ḟ17u</t>
  </si>
  <si>
    <t>1' * Ḟ17u</t>
  </si>
  <si>
    <t>Ė17u</t>
  </si>
  <si>
    <t>1' * Ė17u</t>
  </si>
  <si>
    <t>Ḟ18u</t>
  </si>
  <si>
    <t>1' * Ḟ18u</t>
  </si>
  <si>
    <t>Ė18u</t>
  </si>
  <si>
    <t>1' * Ė18u</t>
  </si>
  <si>
    <t>Ḟ19u</t>
  </si>
  <si>
    <t>1' * Ḟ19u</t>
  </si>
  <si>
    <t>Ė19u</t>
  </si>
  <si>
    <t>1' * Ė19u</t>
  </si>
  <si>
    <t>Ḟ11d</t>
  </si>
  <si>
    <t>1' * Ḟ11d</t>
  </si>
  <si>
    <t>Ė11d</t>
  </si>
  <si>
    <t>1' * Ė11d</t>
  </si>
  <si>
    <t>Ḟ16d</t>
  </si>
  <si>
    <t>1' * Ḟ16d</t>
  </si>
  <si>
    <t>Ė16d</t>
  </si>
  <si>
    <t>1' * Ė16d</t>
  </si>
  <si>
    <t>Ḟ17d</t>
  </si>
  <si>
    <t>1' * Ḟ17d</t>
  </si>
  <si>
    <t>Ė17d</t>
  </si>
  <si>
    <t>1' * Ė17d</t>
  </si>
  <si>
    <t>Ḟ18d</t>
  </si>
  <si>
    <t>1' * Ḟ18d</t>
  </si>
  <si>
    <t>Ė18d</t>
  </si>
  <si>
    <t>1' * Ė18d</t>
  </si>
  <si>
    <t>Ḟ19d</t>
  </si>
  <si>
    <t>1' * Ḟ19d</t>
  </si>
  <si>
    <t>Ė19d</t>
  </si>
  <si>
    <t>1' * Ė19d</t>
  </si>
  <si>
    <t>F20 * 1</t>
  </si>
  <si>
    <t>1' * F20 * 1</t>
  </si>
  <si>
    <t>E20 * 1</t>
  </si>
  <si>
    <t>1' * E20 * 1</t>
  </si>
  <si>
    <t>(1/x20' * 1) * F20 * 1</t>
  </si>
  <si>
    <t>1' * ((1/x20' * 1) * (F20 * 1))</t>
  </si>
  <si>
    <t>(1/x20' * 1) * E20 * 1</t>
  </si>
  <si>
    <t>1' * ((1/x20' * 1) * (E20 * 1))</t>
  </si>
  <si>
    <t>F20 elemenként előállítva:</t>
  </si>
  <si>
    <t>E20 elemenként előállítva:</t>
  </si>
  <si>
    <t>F25 elemenként előállítva:</t>
  </si>
  <si>
    <t>F24 elemenként előállítva:</t>
  </si>
  <si>
    <t>F23 elemenként előállítva:</t>
  </si>
  <si>
    <t>F22 elemenként előállítva:</t>
  </si>
  <si>
    <t>F21 elemenként előállítva:</t>
  </si>
  <si>
    <t>E25 elemenként előállítva:</t>
  </si>
  <si>
    <t>E24 elemenként előállítva:</t>
  </si>
  <si>
    <t>E23 elemenként előállítva:</t>
  </si>
  <si>
    <t>E22 elemenként előállítva:</t>
  </si>
  <si>
    <t>E21 elemenként előállítva:</t>
  </si>
  <si>
    <t>F21 * 1</t>
  </si>
  <si>
    <t>1' * F21 * 1</t>
  </si>
  <si>
    <t>E21 * 1</t>
  </si>
  <si>
    <t>1' * E21 * 1</t>
  </si>
  <si>
    <t>(1/x21' * 1) * F21 * 1</t>
  </si>
  <si>
    <t>1' * ((1/x21' * 1) * (F21 * 1))</t>
  </si>
  <si>
    <t>(1/x21' * 1) * E21 * 1</t>
  </si>
  <si>
    <t>1' * ((1/x21' * 1) * (E21 * 1))</t>
  </si>
  <si>
    <t>F22 * 1</t>
  </si>
  <si>
    <t>1' * F22 * 1</t>
  </si>
  <si>
    <t>E22 * 1</t>
  </si>
  <si>
    <t>1' * E22 * 1</t>
  </si>
  <si>
    <t>(1/x22' * 1) * F22 * 1</t>
  </si>
  <si>
    <t>1' * ((1/x22' * 1) * (F22 * 1))</t>
  </si>
  <si>
    <t>(1/x22' * 1) * E22 * 1</t>
  </si>
  <si>
    <t>1' * ((1/x22' * 1) * (E22 * 1))</t>
  </si>
  <si>
    <t>F23 * 1</t>
  </si>
  <si>
    <t>1' * F23 * 1</t>
  </si>
  <si>
    <t>E23 * 1</t>
  </si>
  <si>
    <t>1' * E23 * 1</t>
  </si>
  <si>
    <t>(1/x23' * 1) * F23 * 1</t>
  </si>
  <si>
    <t>1' * ((1/x23' * 1) * (F23 * 1))</t>
  </si>
  <si>
    <t>(1/x23' * 1) * E23 * 1</t>
  </si>
  <si>
    <t>1' * ((1/x23' * 1) * (E23 * 1))</t>
  </si>
  <si>
    <t>F24 * 1</t>
  </si>
  <si>
    <t>1' * F24 * 1</t>
  </si>
  <si>
    <t>E24 * 1</t>
  </si>
  <si>
    <t>1' * E24 * 1</t>
  </si>
  <si>
    <t>(1/x24' * 1) * F24 * 1</t>
  </si>
  <si>
    <t>1' * ((1/x24' * 1) * (F24 * 1))</t>
  </si>
  <si>
    <t>(1/x24' * 1) * E24 * 1</t>
  </si>
  <si>
    <t>1' * ((1/x24' * 1) * (E24 * 1))</t>
  </si>
  <si>
    <t>F25 * 1</t>
  </si>
  <si>
    <t>1' * F25 * 1</t>
  </si>
  <si>
    <t>E25 * 1</t>
  </si>
  <si>
    <t>1' * E25 * 1</t>
  </si>
  <si>
    <t>(1/x25' * 1) * F25 * 1</t>
  </si>
  <si>
    <t>1' * ((1/x25' * 1) * (F25 * 1))</t>
  </si>
  <si>
    <t>(1/x25' * 1) * E25 * 1</t>
  </si>
  <si>
    <t>1' * ((1/x25' * 1) * (E25 * 1))</t>
  </si>
  <si>
    <t>Ḟ20 elemenként előállítva:</t>
  </si>
  <si>
    <t>Ḟ21 elemenként előállítva:</t>
  </si>
  <si>
    <t>Ḟ22 elemenként előállítva:</t>
  </si>
  <si>
    <t>Ḟ23 elemenként előállítva:</t>
  </si>
  <si>
    <t>Ḟ24 elemenként előállítva:</t>
  </si>
  <si>
    <t>Ḟ25 elemenként előállítva:</t>
  </si>
  <si>
    <t>Ė20 elemenként előállítva:</t>
  </si>
  <si>
    <t>Ė21 elemenként előállítva:</t>
  </si>
  <si>
    <t>Ė22 elemenként előállítva:</t>
  </si>
  <si>
    <t>Ė23 elemenként előállítva:</t>
  </si>
  <si>
    <t>Ė24 elemenként előállítva:</t>
  </si>
  <si>
    <t>Ė25 elemenként előállítva:</t>
  </si>
  <si>
    <t>Ḟ10u</t>
  </si>
  <si>
    <t>Ė10u</t>
  </si>
  <si>
    <t>1' * Ḟ10u</t>
  </si>
  <si>
    <r>
      <t xml:space="preserve">1' * </t>
    </r>
    <r>
      <rPr>
        <sz val="11"/>
        <color theme="1"/>
        <rFont val="Calibri"/>
        <family val="2"/>
        <charset val="238"/>
      </rPr>
      <t>Ė</t>
    </r>
    <r>
      <rPr>
        <sz val="11"/>
        <color theme="1"/>
        <rFont val="Calibri"/>
        <family val="2"/>
        <charset val="238"/>
        <scheme val="minor"/>
      </rPr>
      <t>10u</t>
    </r>
  </si>
  <si>
    <t>Ḟ10d</t>
  </si>
  <si>
    <t>1' * Ḟ10d</t>
  </si>
  <si>
    <r>
      <rPr>
        <sz val="11"/>
        <color theme="1"/>
        <rFont val="Calibri"/>
        <family val="2"/>
        <charset val="238"/>
      </rPr>
      <t>Ė</t>
    </r>
    <r>
      <rPr>
        <sz val="11"/>
        <color theme="1"/>
        <rFont val="Calibri"/>
        <family val="2"/>
        <charset val="238"/>
        <scheme val="minor"/>
      </rPr>
      <t>10d</t>
    </r>
  </si>
  <si>
    <r>
      <t xml:space="preserve">1' * </t>
    </r>
    <r>
      <rPr>
        <sz val="11"/>
        <color theme="1"/>
        <rFont val="Calibri"/>
        <family val="2"/>
        <charset val="238"/>
      </rPr>
      <t>Ė</t>
    </r>
    <r>
      <rPr>
        <sz val="11"/>
        <color theme="1"/>
        <rFont val="Calibri"/>
        <family val="2"/>
        <charset val="238"/>
        <scheme val="minor"/>
      </rPr>
      <t>10d</t>
    </r>
  </si>
  <si>
    <r>
      <t>Ḟ10</t>
    </r>
    <r>
      <rPr>
        <sz val="11"/>
        <color theme="1"/>
        <rFont val="Calibri"/>
        <family val="2"/>
        <charset val="238"/>
      </rPr>
      <t>Σ</t>
    </r>
  </si>
  <si>
    <t>Ḟ11Σ</t>
  </si>
  <si>
    <t>Ḟ12Σ</t>
  </si>
  <si>
    <t>Ḟ13Σ</t>
  </si>
  <si>
    <t>Ḟ14Σ</t>
  </si>
  <si>
    <t>Ḟ15Σ</t>
  </si>
  <si>
    <t>Ḟ16Σ</t>
  </si>
  <si>
    <t>Ḟ17Σ</t>
  </si>
  <si>
    <t>Ḟ18Σ</t>
  </si>
  <si>
    <t>Ḟ19Σ</t>
  </si>
  <si>
    <r>
      <rPr>
        <sz val="11"/>
        <color theme="1"/>
        <rFont val="Calibri"/>
        <family val="2"/>
        <charset val="238"/>
      </rPr>
      <t>Ė</t>
    </r>
    <r>
      <rPr>
        <sz val="11"/>
        <color theme="1"/>
        <rFont val="Calibri"/>
        <family val="2"/>
        <charset val="238"/>
        <scheme val="minor"/>
      </rPr>
      <t>10Σ</t>
    </r>
  </si>
  <si>
    <t>Ė11Σ</t>
  </si>
  <si>
    <t>Ė12Σ</t>
  </si>
  <si>
    <t>Ė13Σ</t>
  </si>
  <si>
    <t>Ė14Σ</t>
  </si>
  <si>
    <t>Ė15Σ</t>
  </si>
  <si>
    <t>Ė16Σ</t>
  </si>
  <si>
    <t>Ė17Σ</t>
  </si>
  <si>
    <t>Ė18Σ</t>
  </si>
  <si>
    <t>Ė19Σ</t>
  </si>
  <si>
    <t>1' * Ḟ10Σ</t>
  </si>
  <si>
    <t>1' * Ḟ11Σ</t>
  </si>
  <si>
    <t>1' * Ḟ12Σ</t>
  </si>
  <si>
    <t>1' * Ḟ13Σ</t>
  </si>
  <si>
    <t>1' * Ḟ14Σ</t>
  </si>
  <si>
    <t>1' * Ḟ15Σ</t>
  </si>
  <si>
    <t>1' * Ḟ16Σ</t>
  </si>
  <si>
    <t>1' * Ḟ17Σ</t>
  </si>
  <si>
    <t>1' * Ḟ18Σ</t>
  </si>
  <si>
    <t>1' * Ḟ19Σ</t>
  </si>
  <si>
    <r>
      <t xml:space="preserve">1' * </t>
    </r>
    <r>
      <rPr>
        <sz val="11"/>
        <color theme="1"/>
        <rFont val="Calibri"/>
        <family val="2"/>
        <charset val="238"/>
      </rPr>
      <t>Ė</t>
    </r>
    <r>
      <rPr>
        <sz val="11"/>
        <color theme="1"/>
        <rFont val="Calibri"/>
        <family val="2"/>
        <charset val="238"/>
        <scheme val="minor"/>
      </rPr>
      <t>10</t>
    </r>
    <r>
      <rPr>
        <vertAlign val="subscript"/>
        <sz val="11"/>
        <color theme="1"/>
        <rFont val="Calibri"/>
        <family val="2"/>
        <charset val="238"/>
        <scheme val="minor"/>
      </rPr>
      <t>Σ</t>
    </r>
  </si>
  <si>
    <t>1' * Ė11Σ</t>
  </si>
  <si>
    <t>1' * Ė12Σ</t>
  </si>
  <si>
    <t>1' * Ė13Σ</t>
  </si>
  <si>
    <t>1' * Ė14Σ</t>
  </si>
  <si>
    <t>1' * Ė15Σ</t>
  </si>
  <si>
    <t>1' * Ė16Σ</t>
  </si>
  <si>
    <t>1' * Ė17Σ</t>
  </si>
  <si>
    <t>1' * Ė18Σ</t>
  </si>
  <si>
    <t>1' * Ė19Σ</t>
  </si>
  <si>
    <t>Ḟ20Σ</t>
  </si>
  <si>
    <t>1' * Ḟ20Σ</t>
  </si>
  <si>
    <t>Ė20Σ</t>
  </si>
  <si>
    <t>1' * Ė20Σ</t>
  </si>
  <si>
    <t>Ḟ21Σ</t>
  </si>
  <si>
    <t>1' * Ḟ21Σ</t>
  </si>
  <si>
    <t>Ė21Σ</t>
  </si>
  <si>
    <t>1' * Ė21Σ</t>
  </si>
  <si>
    <t>Ḟ22Σ</t>
  </si>
  <si>
    <t>1' * Ḟ22Σ</t>
  </si>
  <si>
    <t>Ė22Σ</t>
  </si>
  <si>
    <t>1' * Ė22Σ</t>
  </si>
  <si>
    <t>Ḟ23Σ</t>
  </si>
  <si>
    <t>1' * Ḟ23Σ</t>
  </si>
  <si>
    <t>Ė23Σ</t>
  </si>
  <si>
    <t>1' * Ė23Σ</t>
  </si>
  <si>
    <t>Ḟ24Σ</t>
  </si>
  <si>
    <t>1' * Ḟ24Σ</t>
  </si>
  <si>
    <t>Ė24Σ</t>
  </si>
  <si>
    <t>1' * Ė24Σ</t>
  </si>
  <si>
    <t>Ḟ25Σ</t>
  </si>
  <si>
    <t>1' * Ḟ25Σ</t>
  </si>
  <si>
    <t>Ė25Σ</t>
  </si>
  <si>
    <t>1' * Ė25Σ</t>
  </si>
  <si>
    <t xml:space="preserve">Tőkeállomány </t>
  </si>
  <si>
    <t>K10</t>
  </si>
  <si>
    <t>K11</t>
  </si>
  <si>
    <t>K12</t>
  </si>
  <si>
    <t>K13</t>
  </si>
  <si>
    <t>K14</t>
  </si>
  <si>
    <t>K15</t>
  </si>
  <si>
    <t>K16</t>
  </si>
  <si>
    <t>K17</t>
  </si>
  <si>
    <t>K18</t>
  </si>
  <si>
    <t>K19</t>
  </si>
  <si>
    <t>K20</t>
  </si>
  <si>
    <t>K21</t>
  </si>
  <si>
    <t>K22</t>
  </si>
  <si>
    <t>K23</t>
  </si>
  <si>
    <t>K24</t>
  </si>
  <si>
    <t>K25</t>
  </si>
  <si>
    <t>T10</t>
  </si>
  <si>
    <t>T11</t>
  </si>
  <si>
    <t>T12</t>
  </si>
  <si>
    <t>T13</t>
  </si>
  <si>
    <t>T14</t>
  </si>
  <si>
    <t>T15</t>
  </si>
  <si>
    <t>T16</t>
  </si>
  <si>
    <t>T17</t>
  </si>
  <si>
    <t>T18</t>
  </si>
  <si>
    <t>T19</t>
  </si>
  <si>
    <t>T20</t>
  </si>
  <si>
    <t>T21</t>
  </si>
  <si>
    <t>T22</t>
  </si>
  <si>
    <t>T23</t>
  </si>
  <si>
    <t>T24</t>
  </si>
  <si>
    <t>T25</t>
  </si>
  <si>
    <t>M10</t>
  </si>
  <si>
    <t>M11</t>
  </si>
  <si>
    <t>M12</t>
  </si>
  <si>
    <t>M13</t>
  </si>
  <si>
    <t>M14</t>
  </si>
  <si>
    <t>M15</t>
  </si>
  <si>
    <t>M16</t>
  </si>
  <si>
    <t>M17</t>
  </si>
  <si>
    <t>M18</t>
  </si>
  <si>
    <t>M19</t>
  </si>
  <si>
    <t>M20</t>
  </si>
  <si>
    <t>M21</t>
  </si>
  <si>
    <t>M22</t>
  </si>
  <si>
    <t>M23</t>
  </si>
  <si>
    <t>M24</t>
  </si>
  <si>
    <t>M25</t>
  </si>
  <si>
    <t>X10</t>
  </si>
  <si>
    <t>X11</t>
  </si>
  <si>
    <t>X12</t>
  </si>
  <si>
    <t>X13</t>
  </si>
  <si>
    <t>X14</t>
  </si>
  <si>
    <t>X15</t>
  </si>
  <si>
    <t>X16</t>
  </si>
  <si>
    <t>X17</t>
  </si>
  <si>
    <t>X18</t>
  </si>
  <si>
    <t>X19</t>
  </si>
  <si>
    <t>X20</t>
  </si>
  <si>
    <t>X21</t>
  </si>
  <si>
    <t>X22</t>
  </si>
  <si>
    <t>X23</t>
  </si>
  <si>
    <t>X24</t>
  </si>
  <si>
    <t>X25</t>
  </si>
  <si>
    <t>Mrd. Ft.</t>
  </si>
  <si>
    <t>Ḟ10g</t>
  </si>
  <si>
    <t>Ḟ11g</t>
  </si>
  <si>
    <t>Ḟ12g</t>
  </si>
  <si>
    <t>Ḟ13g</t>
  </si>
  <si>
    <t>Ḟ14g</t>
  </si>
  <si>
    <t>Ḟ15g</t>
  </si>
  <si>
    <t>Ḟ16g</t>
  </si>
  <si>
    <t>Ḟ17g</t>
  </si>
  <si>
    <t>Ḟ18g</t>
  </si>
  <si>
    <t>Ḟ19g</t>
  </si>
  <si>
    <t>1' * Ḟ10g</t>
  </si>
  <si>
    <t>1' * Ḟ11g</t>
  </si>
  <si>
    <t>1' * Ḟ12g</t>
  </si>
  <si>
    <t>1' * Ḟ13g</t>
  </si>
  <si>
    <t>1' * Ḟ14g</t>
  </si>
  <si>
    <t>1' * Ḟ15g</t>
  </si>
  <si>
    <t>1' * Ḟ16g</t>
  </si>
  <si>
    <t>1' * Ḟ17g</t>
  </si>
  <si>
    <t>1' * Ḟ18g</t>
  </si>
  <si>
    <t>1' * Ḟ19g</t>
  </si>
  <si>
    <t>Ė10g</t>
  </si>
  <si>
    <t>Ė11g</t>
  </si>
  <si>
    <t>Ė12g</t>
  </si>
  <si>
    <t>Ė13g</t>
  </si>
  <si>
    <t>Ė14g</t>
  </si>
  <si>
    <t>Ė15g</t>
  </si>
  <si>
    <t>Ė16g</t>
  </si>
  <si>
    <t>Ė17g</t>
  </si>
  <si>
    <t>Ė18g</t>
  </si>
  <si>
    <t>Ė19g</t>
  </si>
  <si>
    <t>1' * Ė10g</t>
  </si>
  <si>
    <t>1' * Ė11g</t>
  </si>
  <si>
    <t>1' * Ė12g</t>
  </si>
  <si>
    <t>1' * Ė13g</t>
  </si>
  <si>
    <t>1' * Ė14g</t>
  </si>
  <si>
    <t>1' * Ė15g</t>
  </si>
  <si>
    <t>1' * Ė16g</t>
  </si>
  <si>
    <t>1' * Ė17g</t>
  </si>
  <si>
    <t>1' * Ė18g</t>
  </si>
  <si>
    <t>1' * Ė19g</t>
  </si>
  <si>
    <t>x</t>
  </si>
  <si>
    <t>Peremszámok</t>
  </si>
  <si>
    <t>Fogyasztás növekedési üteme</t>
  </si>
  <si>
    <t>Bruttó felhalmozás növekedési üteme</t>
  </si>
  <si>
    <t>Export növekedési üteme</t>
  </si>
  <si>
    <r>
      <rPr>
        <sz val="11"/>
        <color theme="1"/>
        <rFont val="Calibri"/>
        <family val="2"/>
        <charset val="238"/>
      </rPr>
      <t>Δ</t>
    </r>
    <r>
      <rPr>
        <vertAlign val="superscript"/>
        <sz val="11"/>
        <color theme="1"/>
        <rFont val="Calibri"/>
        <family val="2"/>
        <charset val="238"/>
        <scheme val="minor"/>
      </rPr>
      <t>c</t>
    </r>
  </si>
  <si>
    <r>
      <rPr>
        <sz val="11"/>
        <color theme="1"/>
        <rFont val="Calibri"/>
        <family val="2"/>
        <charset val="238"/>
      </rPr>
      <t>Δ</t>
    </r>
    <r>
      <rPr>
        <vertAlign val="superscript"/>
        <sz val="11"/>
        <color theme="1"/>
        <rFont val="Calibri"/>
        <family val="2"/>
        <charset val="238"/>
        <scheme val="minor"/>
      </rPr>
      <t>a</t>
    </r>
  </si>
  <si>
    <r>
      <rPr>
        <sz val="11"/>
        <color theme="1"/>
        <rFont val="Calibri"/>
        <family val="2"/>
        <charset val="238"/>
      </rPr>
      <t>Δ</t>
    </r>
    <r>
      <rPr>
        <vertAlign val="superscript"/>
        <sz val="11"/>
        <color theme="1"/>
        <rFont val="Calibri"/>
        <family val="2"/>
        <charset val="238"/>
        <scheme val="minor"/>
      </rPr>
      <t>e</t>
    </r>
  </si>
  <si>
    <t>Bázis modell munkalapok</t>
  </si>
  <si>
    <t>Péda előrejelző munkalapok</t>
  </si>
  <si>
    <t>A variánsképzés</t>
  </si>
  <si>
    <t>HÉ/X</t>
  </si>
  <si>
    <t>Hozzáadott érték tartalom</t>
  </si>
  <si>
    <r>
      <t>(E-</t>
    </r>
    <r>
      <rPr>
        <sz val="11"/>
        <color theme="1"/>
        <rFont val="Calibri"/>
        <family val="2"/>
        <charset val="238"/>
      </rPr>
      <t>Ḅ)</t>
    </r>
    <r>
      <rPr>
        <vertAlign val="superscript"/>
        <sz val="11"/>
        <color theme="1"/>
        <rFont val="Calibri"/>
        <family val="2"/>
        <charset val="238"/>
      </rPr>
      <t>-1</t>
    </r>
  </si>
  <si>
    <r>
      <t>E-</t>
    </r>
    <r>
      <rPr>
        <sz val="11"/>
        <color theme="1"/>
        <rFont val="Calibri"/>
        <family val="2"/>
        <charset val="238"/>
      </rPr>
      <t>Ḅ</t>
    </r>
  </si>
  <si>
    <t>E</t>
  </si>
  <si>
    <t>Hozz. Ért</t>
  </si>
  <si>
    <t>H</t>
  </si>
  <si>
    <r>
      <t>1'T</t>
    </r>
    <r>
      <rPr>
        <vertAlign val="superscript"/>
        <sz val="11"/>
        <color theme="1"/>
        <rFont val="Calibri"/>
        <family val="2"/>
        <charset val="238"/>
      </rPr>
      <t>Ḃ</t>
    </r>
  </si>
  <si>
    <t>Ter. Adó - tám.</t>
  </si>
  <si>
    <r>
      <t>1'I</t>
    </r>
    <r>
      <rPr>
        <vertAlign val="superscript"/>
        <sz val="11"/>
        <color theme="1"/>
        <rFont val="Calibri"/>
        <family val="2"/>
        <charset val="238"/>
      </rPr>
      <t>Ḃ</t>
    </r>
  </si>
  <si>
    <t>Ḅ</t>
  </si>
  <si>
    <t>Modellezett változat 2025</t>
  </si>
  <si>
    <t>Bázis változat 2025</t>
  </si>
  <si>
    <t>Bázis modellben</t>
  </si>
  <si>
    <t>Előrejelző modellben</t>
  </si>
  <si>
    <t>Down-stream</t>
  </si>
  <si>
    <t>Változás</t>
  </si>
  <si>
    <t>Bázis modell ÁKM-ei</t>
  </si>
  <si>
    <t>Bázis modell FES adatai</t>
  </si>
  <si>
    <t>A variánsképzéshez készített ÁKM</t>
  </si>
  <si>
    <t>FES</t>
  </si>
  <si>
    <t>2025 bázis</t>
  </si>
  <si>
    <t>2025 modellezés</t>
  </si>
  <si>
    <t>Felső</t>
  </si>
  <si>
    <t>Közép</t>
  </si>
  <si>
    <t>Alsó</t>
  </si>
  <si>
    <t>Foglalkoztatottak végzettsége</t>
  </si>
  <si>
    <t>Ezer fő</t>
  </si>
  <si>
    <t>Foglalkoztatottak száma összesen - ezer fő</t>
  </si>
  <si>
    <t>GDP</t>
  </si>
  <si>
    <t>Összes foglalkoztatott</t>
  </si>
  <si>
    <t>Megtermelt GDP</t>
  </si>
  <si>
    <t>Felhasznélt  GDP</t>
  </si>
  <si>
    <t>Hozzáadott érték</t>
  </si>
  <si>
    <t>Összes kibocsátás szerkezete</t>
  </si>
  <si>
    <t>Hozzáadott érték szerkezete</t>
  </si>
  <si>
    <t>2025/2020 átl évi növ. Ütem</t>
  </si>
  <si>
    <t>2025 Előrejelző modell mínusz 2025 bázismodell</t>
  </si>
  <si>
    <t>2025 bázismodell</t>
  </si>
  <si>
    <t>2025 előrejelző modell</t>
  </si>
  <si>
    <t>%</t>
  </si>
  <si>
    <t>Mrd. FT</t>
  </si>
  <si>
    <t>Szakmák</t>
  </si>
  <si>
    <t>Összeszerelők + szakképzetlenek</t>
  </si>
  <si>
    <t>Vezetők + felsőfokúak + Egyéb felső</t>
  </si>
  <si>
    <t>2025 Modellezés mínusz 2025 bázismodell</t>
  </si>
  <si>
    <t xml:space="preserve">GDP növekedési ütem ( 2025/20) = </t>
  </si>
  <si>
    <t>Modellezési feltétel:</t>
  </si>
  <si>
    <t>Növ. Ütem:</t>
  </si>
  <si>
    <t>2025 évi modellezés - 2025 évi bázis modell</t>
  </si>
  <si>
    <t>A modellezési variáns tartalma:</t>
  </si>
  <si>
    <t>Upstr._HÉ_% = +</t>
  </si>
  <si>
    <t>Gyárt._HÉ_% =</t>
  </si>
  <si>
    <t>Downstr._HÉ_% = +</t>
  </si>
  <si>
    <t>Foglalkoztatottak szakma szerint</t>
  </si>
  <si>
    <t>ÁKM2010 B10:BN74 (ágazatxágazat) /ÁKM2010 B84:BI84 (ágazati kibocsátás) * Peremszámok összes kibocsátás 2010</t>
  </si>
  <si>
    <t>Számolt adat: külső forrása Adatbázisok (ÁKM/FES)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</si>
</sst>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,##0.0"/>
    <numFmt numFmtId="165" formatCode="#,##0.0000"/>
    <numFmt numFmtId="166" formatCode="0.0"/>
    <numFmt numFmtId="167" formatCode="0.0%"/>
    <numFmt numFmtId="168" formatCode="#,##0.00000"/>
    <numFmt numFmtId="169" formatCode="#,##0.000"/>
    <numFmt numFmtId="170" formatCode="0.0000"/>
  </numFmts>
  <fonts count="1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8"/>
      <name val="Calibri"/>
      <family val="2"/>
      <charset val="238"/>
      <scheme val="minor"/>
    </font>
    <font>
      <sz val="11"/>
      <color indexed="8"/>
      <name val="Calibri"/>
      <family val="2"/>
      <scheme val="minor"/>
    </font>
    <font>
      <vertAlign val="superscript"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vertAlign val="subscript"/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</font>
    <font>
      <b/>
      <sz val="9"/>
      <color indexed="81"/>
      <name val="Tahoma"/>
      <charset val="1"/>
    </font>
    <font>
      <sz val="11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39997558519241921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/>
      <diagonal/>
    </border>
    <border>
      <left style="dash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4" fillId="0" borderId="0"/>
    <xf numFmtId="0" fontId="6" fillId="0" borderId="0"/>
    <xf numFmtId="9" fontId="3" fillId="0" borderId="0" applyFont="0" applyFill="0" applyBorder="0" applyAlignment="0" applyProtection="0"/>
  </cellStyleXfs>
  <cellXfs count="415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3" fontId="0" fillId="0" borderId="0" xfId="0" applyNumberFormat="1"/>
    <xf numFmtId="0" fontId="0" fillId="0" borderId="2" xfId="0" applyBorder="1" applyAlignment="1">
      <alignment horizontal="center"/>
    </xf>
    <xf numFmtId="3" fontId="0" fillId="0" borderId="3" xfId="0" applyNumberFormat="1" applyBorder="1"/>
    <xf numFmtId="3" fontId="0" fillId="0" borderId="0" xfId="0" applyNumberFormat="1" applyBorder="1"/>
    <xf numFmtId="3" fontId="0" fillId="0" borderId="5" xfId="0" applyNumberFormat="1" applyBorder="1"/>
    <xf numFmtId="0" fontId="0" fillId="0" borderId="10" xfId="0" applyBorder="1" applyAlignment="1">
      <alignment horizontal="center"/>
    </xf>
    <xf numFmtId="0" fontId="0" fillId="0" borderId="11" xfId="0" applyBorder="1"/>
    <xf numFmtId="0" fontId="0" fillId="0" borderId="3" xfId="0" applyBorder="1"/>
    <xf numFmtId="0" fontId="0" fillId="0" borderId="0" xfId="0" applyBorder="1"/>
    <xf numFmtId="0" fontId="0" fillId="0" borderId="13" xfId="0" applyBorder="1" applyAlignment="1">
      <alignment horizontal="center"/>
    </xf>
    <xf numFmtId="0" fontId="0" fillId="0" borderId="14" xfId="0" applyBorder="1"/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65" fontId="0" fillId="0" borderId="0" xfId="0" applyNumberFormat="1"/>
    <xf numFmtId="0" fontId="2" fillId="0" borderId="0" xfId="0" applyFont="1"/>
    <xf numFmtId="0" fontId="0" fillId="0" borderId="9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3" fontId="0" fillId="0" borderId="27" xfId="0" applyNumberFormat="1" applyBorder="1"/>
    <xf numFmtId="3" fontId="0" fillId="0" borderId="28" xfId="0" applyNumberFormat="1" applyBorder="1"/>
    <xf numFmtId="3" fontId="0" fillId="0" borderId="24" xfId="0" applyNumberFormat="1" applyBorder="1"/>
    <xf numFmtId="3" fontId="0" fillId="0" borderId="9" xfId="0" applyNumberFormat="1" applyBorder="1"/>
    <xf numFmtId="165" fontId="0" fillId="0" borderId="9" xfId="0" applyNumberFormat="1" applyBorder="1"/>
    <xf numFmtId="3" fontId="0" fillId="0" borderId="25" xfId="0" applyNumberFormat="1" applyBorder="1"/>
    <xf numFmtId="0" fontId="0" fillId="0" borderId="9" xfId="0" applyBorder="1"/>
    <xf numFmtId="164" fontId="0" fillId="0" borderId="24" xfId="0" applyNumberFormat="1" applyBorder="1"/>
    <xf numFmtId="164" fontId="0" fillId="0" borderId="25" xfId="0" applyNumberFormat="1" applyBorder="1"/>
    <xf numFmtId="164" fontId="0" fillId="0" borderId="28" xfId="0" applyNumberFormat="1" applyBorder="1"/>
    <xf numFmtId="3" fontId="0" fillId="0" borderId="29" xfId="0" applyNumberFormat="1" applyBorder="1"/>
    <xf numFmtId="0" fontId="0" fillId="0" borderId="30" xfId="0" applyBorder="1"/>
    <xf numFmtId="165" fontId="0" fillId="0" borderId="30" xfId="0" applyNumberFormat="1" applyBorder="1"/>
    <xf numFmtId="3" fontId="0" fillId="0" borderId="31" xfId="0" applyNumberFormat="1" applyBorder="1"/>
    <xf numFmtId="3" fontId="0" fillId="0" borderId="30" xfId="0" applyNumberFormat="1" applyBorder="1"/>
    <xf numFmtId="164" fontId="0" fillId="0" borderId="31" xfId="0" applyNumberFormat="1" applyBorder="1"/>
    <xf numFmtId="165" fontId="2" fillId="0" borderId="0" xfId="0" applyNumberFormat="1" applyFont="1"/>
    <xf numFmtId="166" fontId="0" fillId="0" borderId="0" xfId="0" applyNumberFormat="1"/>
    <xf numFmtId="0" fontId="0" fillId="0" borderId="1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164" fontId="0" fillId="0" borderId="27" xfId="0" applyNumberFormat="1" applyBorder="1"/>
    <xf numFmtId="164" fontId="0" fillId="0" borderId="29" xfId="0" applyNumberFormat="1" applyBorder="1"/>
    <xf numFmtId="0" fontId="0" fillId="0" borderId="2" xfId="0" applyBorder="1" applyAlignment="1">
      <alignment horizontal="center" vertical="center" wrapText="1"/>
    </xf>
    <xf numFmtId="0" fontId="0" fillId="0" borderId="4" xfId="0" applyBorder="1"/>
    <xf numFmtId="167" fontId="0" fillId="0" borderId="0" xfId="1" applyNumberFormat="1" applyFont="1" applyBorder="1"/>
    <xf numFmtId="167" fontId="0" fillId="0" borderId="6" xfId="1" applyNumberFormat="1" applyFont="1" applyBorder="1"/>
    <xf numFmtId="0" fontId="0" fillId="0" borderId="3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4" xfId="0" applyBorder="1" applyAlignment="1">
      <alignment horizontal="center"/>
    </xf>
    <xf numFmtId="4" fontId="0" fillId="0" borderId="0" xfId="0" applyNumberFormat="1" applyBorder="1"/>
    <xf numFmtId="0" fontId="0" fillId="0" borderId="8" xfId="0" applyBorder="1"/>
    <xf numFmtId="0" fontId="0" fillId="0" borderId="2" xfId="0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4" fontId="0" fillId="0" borderId="0" xfId="0" applyNumberFormat="1"/>
    <xf numFmtId="4" fontId="0" fillId="0" borderId="3" xfId="0" applyNumberFormat="1" applyBorder="1"/>
    <xf numFmtId="2" fontId="0" fillId="0" borderId="4" xfId="0" applyNumberFormat="1" applyBorder="1"/>
    <xf numFmtId="4" fontId="0" fillId="0" borderId="5" xfId="0" applyNumberFormat="1" applyBorder="1"/>
    <xf numFmtId="4" fontId="0" fillId="0" borderId="6" xfId="0" applyNumberFormat="1" applyBorder="1"/>
    <xf numFmtId="2" fontId="0" fillId="0" borderId="7" xfId="0" applyNumberFormat="1" applyBorder="1"/>
    <xf numFmtId="2" fontId="0" fillId="0" borderId="3" xfId="0" applyNumberFormat="1" applyBorder="1"/>
    <xf numFmtId="2" fontId="0" fillId="0" borderId="0" xfId="0" applyNumberFormat="1" applyBorder="1"/>
    <xf numFmtId="2" fontId="0" fillId="0" borderId="5" xfId="0" applyNumberFormat="1" applyBorder="1"/>
    <xf numFmtId="2" fontId="0" fillId="0" borderId="6" xfId="0" applyNumberFormat="1" applyBorder="1"/>
    <xf numFmtId="4" fontId="0" fillId="0" borderId="4" xfId="0" applyNumberFormat="1" applyBorder="1"/>
    <xf numFmtId="4" fontId="0" fillId="0" borderId="3" xfId="0" applyNumberFormat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0" fillId="0" borderId="4" xfId="0" applyNumberFormat="1" applyBorder="1" applyAlignment="1">
      <alignment horizontal="center"/>
    </xf>
    <xf numFmtId="4" fontId="0" fillId="0" borderId="34" xfId="0" applyNumberFormat="1" applyBorder="1" applyAlignment="1">
      <alignment horizontal="center"/>
    </xf>
    <xf numFmtId="168" fontId="0" fillId="0" borderId="0" xfId="0" applyNumberFormat="1"/>
    <xf numFmtId="4" fontId="0" fillId="0" borderId="32" xfId="0" applyNumberFormat="1" applyBorder="1" applyAlignment="1">
      <alignment horizontal="center"/>
    </xf>
    <xf numFmtId="0" fontId="0" fillId="3" borderId="1" xfId="0" applyFill="1" applyBorder="1" applyAlignment="1">
      <alignment horizontal="center" vertical="center" wrapText="1"/>
    </xf>
    <xf numFmtId="3" fontId="0" fillId="3" borderId="0" xfId="0" applyNumberFormat="1" applyFill="1"/>
    <xf numFmtId="4" fontId="0" fillId="0" borderId="9" xfId="0" applyNumberFormat="1" applyBorder="1"/>
    <xf numFmtId="4" fontId="0" fillId="0" borderId="30" xfId="0" applyNumberFormat="1" applyBorder="1"/>
    <xf numFmtId="3" fontId="0" fillId="0" borderId="0" xfId="0" applyNumberFormat="1" applyFill="1" applyBorder="1"/>
    <xf numFmtId="3" fontId="0" fillId="4" borderId="28" xfId="0" applyNumberFormat="1" applyFill="1" applyBorder="1"/>
    <xf numFmtId="3" fontId="0" fillId="0" borderId="13" xfId="0" applyNumberForma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3" fontId="0" fillId="0" borderId="4" xfId="0" applyNumberFormat="1" applyBorder="1" applyAlignment="1">
      <alignment horizontal="center" vertical="center" wrapText="1"/>
    </xf>
    <xf numFmtId="0" fontId="0" fillId="5" borderId="0" xfId="0" applyFill="1"/>
    <xf numFmtId="0" fontId="0" fillId="6" borderId="0" xfId="0" applyFill="1"/>
    <xf numFmtId="0" fontId="0" fillId="7" borderId="0" xfId="0" applyFill="1"/>
    <xf numFmtId="3" fontId="0" fillId="0" borderId="0" xfId="0" applyNumberFormat="1" applyAlignment="1">
      <alignment horizontal="center" vertical="center"/>
    </xf>
    <xf numFmtId="3" fontId="0" fillId="6" borderId="0" xfId="0" applyNumberFormat="1" applyFill="1"/>
    <xf numFmtId="3" fontId="0" fillId="7" borderId="0" xfId="0" applyNumberFormat="1" applyFill="1"/>
    <xf numFmtId="0" fontId="0" fillId="8" borderId="0" xfId="0" applyFill="1"/>
    <xf numFmtId="3" fontId="0" fillId="0" borderId="0" xfId="0" applyNumberFormat="1" applyAlignment="1">
      <alignment horizontal="center" vertical="center" wrapText="1"/>
    </xf>
    <xf numFmtId="3" fontId="0" fillId="0" borderId="0" xfId="0" applyNumberFormat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3" fontId="0" fillId="0" borderId="0" xfId="0" applyNumberFormat="1" applyAlignment="1">
      <alignment horizontal="center" vertical="center"/>
    </xf>
    <xf numFmtId="3" fontId="0" fillId="0" borderId="0" xfId="0" applyNumberFormat="1" applyAlignment="1">
      <alignment horizontal="center" vertical="center" wrapText="1"/>
    </xf>
    <xf numFmtId="3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 wrapText="1"/>
    </xf>
    <xf numFmtId="3" fontId="0" fillId="2" borderId="0" xfId="0" applyNumberFormat="1" applyFill="1" applyAlignment="1">
      <alignment horizontal="center" vertical="center"/>
    </xf>
    <xf numFmtId="3" fontId="0" fillId="0" borderId="0" xfId="0" applyNumberFormat="1" applyAlignment="1">
      <alignment vertical="center" wrapText="1"/>
    </xf>
    <xf numFmtId="0" fontId="0" fillId="9" borderId="1" xfId="0" applyFill="1" applyBorder="1" applyAlignment="1">
      <alignment horizontal="center" vertical="center" wrapText="1"/>
    </xf>
    <xf numFmtId="3" fontId="0" fillId="0" borderId="4" xfId="0" applyNumberFormat="1" applyBorder="1" applyAlignment="1">
      <alignment horizontal="center"/>
    </xf>
    <xf numFmtId="2" fontId="0" fillId="0" borderId="9" xfId="0" applyNumberFormat="1" applyBorder="1" applyAlignment="1">
      <alignment horizontal="center" wrapText="1"/>
    </xf>
    <xf numFmtId="2" fontId="0" fillId="0" borderId="8" xfId="0" applyNumberFormat="1" applyBorder="1" applyAlignment="1">
      <alignment horizontal="center" wrapText="1"/>
    </xf>
    <xf numFmtId="0" fontId="0" fillId="0" borderId="23" xfId="0" applyBorder="1" applyAlignment="1">
      <alignment horizontal="center" vertical="center" wrapText="1"/>
    </xf>
    <xf numFmtId="2" fontId="0" fillId="0" borderId="6" xfId="0" applyNumberFormat="1" applyBorder="1" applyAlignment="1">
      <alignment horizontal="center" wrapText="1"/>
    </xf>
    <xf numFmtId="0" fontId="0" fillId="0" borderId="40" xfId="0" applyBorder="1" applyAlignment="1">
      <alignment horizontal="center"/>
    </xf>
    <xf numFmtId="0" fontId="0" fillId="0" borderId="32" xfId="0" applyBorder="1" applyAlignment="1">
      <alignment horizontal="center"/>
    </xf>
    <xf numFmtId="4" fontId="0" fillId="0" borderId="13" xfId="0" applyNumberFormat="1" applyBorder="1" applyAlignment="1">
      <alignment wrapText="1"/>
    </xf>
    <xf numFmtId="0" fontId="0" fillId="0" borderId="42" xfId="0" applyBorder="1" applyAlignment="1">
      <alignment horizontal="center"/>
    </xf>
    <xf numFmtId="4" fontId="0" fillId="0" borderId="11" xfId="0" applyNumberFormat="1" applyBorder="1"/>
    <xf numFmtId="0" fontId="0" fillId="0" borderId="43" xfId="0" applyBorder="1" applyAlignment="1">
      <alignment horizontal="center"/>
    </xf>
    <xf numFmtId="4" fontId="0" fillId="0" borderId="14" xfId="0" applyNumberFormat="1" applyBorder="1"/>
    <xf numFmtId="3" fontId="0" fillId="0" borderId="13" xfId="0" applyNumberFormat="1" applyBorder="1" applyAlignment="1">
      <alignment horizontal="center" wrapText="1"/>
    </xf>
    <xf numFmtId="4" fontId="0" fillId="0" borderId="41" xfId="0" applyNumberFormat="1" applyBorder="1"/>
    <xf numFmtId="165" fontId="0" fillId="0" borderId="0" xfId="0" applyNumberFormat="1" applyAlignment="1">
      <alignment horizontal="center"/>
    </xf>
    <xf numFmtId="165" fontId="0" fillId="0" borderId="9" xfId="0" applyNumberFormat="1" applyBorder="1" applyAlignment="1">
      <alignment horizontal="center"/>
    </xf>
    <xf numFmtId="165" fontId="0" fillId="0" borderId="30" xfId="0" applyNumberFormat="1" applyBorder="1" applyAlignment="1">
      <alignment horizontal="center"/>
    </xf>
    <xf numFmtId="0" fontId="0" fillId="0" borderId="22" xfId="0" applyFill="1" applyBorder="1" applyAlignment="1">
      <alignment horizontal="center" vertical="center" wrapText="1"/>
    </xf>
    <xf numFmtId="3" fontId="0" fillId="0" borderId="39" xfId="0" applyNumberFormat="1" applyFill="1" applyBorder="1"/>
    <xf numFmtId="3" fontId="0" fillId="0" borderId="40" xfId="0" applyNumberFormat="1" applyFill="1" applyBorder="1"/>
    <xf numFmtId="3" fontId="0" fillId="0" borderId="33" xfId="0" applyNumberFormat="1" applyFill="1" applyBorder="1"/>
    <xf numFmtId="3" fontId="0" fillId="0" borderId="28" xfId="0" applyNumberFormat="1" applyFill="1" applyBorder="1"/>
    <xf numFmtId="3" fontId="0" fillId="0" borderId="27" xfId="0" applyNumberFormat="1" applyFill="1" applyBorder="1"/>
    <xf numFmtId="165" fontId="0" fillId="0" borderId="0" xfId="0" applyNumberFormat="1" applyFill="1" applyBorder="1"/>
    <xf numFmtId="165" fontId="0" fillId="0" borderId="0" xfId="0" applyNumberFormat="1" applyFill="1" applyAlignment="1">
      <alignment horizontal="center"/>
    </xf>
    <xf numFmtId="3" fontId="0" fillId="0" borderId="37" xfId="0" applyNumberFormat="1" applyFill="1" applyBorder="1"/>
    <xf numFmtId="3" fontId="0" fillId="0" borderId="6" xfId="0" applyNumberFormat="1" applyFill="1" applyBorder="1"/>
    <xf numFmtId="165" fontId="0" fillId="0" borderId="6" xfId="0" applyNumberFormat="1" applyFill="1" applyBorder="1"/>
    <xf numFmtId="3" fontId="0" fillId="0" borderId="38" xfId="0" applyNumberFormat="1" applyFill="1" applyBorder="1"/>
    <xf numFmtId="3" fontId="0" fillId="0" borderId="26" xfId="0" applyNumberFormat="1" applyBorder="1"/>
    <xf numFmtId="3" fontId="0" fillId="0" borderId="23" xfId="0" applyNumberFormat="1" applyBorder="1"/>
    <xf numFmtId="3" fontId="0" fillId="0" borderId="46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4" fontId="0" fillId="0" borderId="3" xfId="0" applyNumberFormat="1" applyBorder="1" applyAlignment="1">
      <alignment horizontal="center" vertical="center"/>
    </xf>
    <xf numFmtId="4" fontId="0" fillId="0" borderId="41" xfId="0" applyNumberFormat="1" applyBorder="1" applyAlignment="1">
      <alignment horizontal="center" vertical="center"/>
    </xf>
    <xf numFmtId="3" fontId="0" fillId="0" borderId="9" xfId="0" applyNumberFormat="1" applyBorder="1" applyAlignment="1">
      <alignment horizontal="center"/>
    </xf>
    <xf numFmtId="3" fontId="0" fillId="0" borderId="8" xfId="0" applyNumberFormat="1" applyBorder="1" applyAlignment="1"/>
    <xf numFmtId="3" fontId="0" fillId="0" borderId="9" xfId="0" applyNumberFormat="1" applyBorder="1" applyAlignment="1"/>
    <xf numFmtId="3" fontId="0" fillId="0" borderId="35" xfId="0" applyNumberFormat="1" applyBorder="1" applyAlignment="1"/>
    <xf numFmtId="3" fontId="0" fillId="0" borderId="3" xfId="0" applyNumberFormat="1" applyBorder="1" applyAlignment="1">
      <alignment vertical="center"/>
    </xf>
    <xf numFmtId="3" fontId="0" fillId="0" borderId="0" xfId="0" applyNumberFormat="1" applyBorder="1" applyAlignment="1">
      <alignment vertical="center"/>
    </xf>
    <xf numFmtId="3" fontId="0" fillId="0" borderId="11" xfId="0" applyNumberFormat="1" applyBorder="1" applyAlignment="1">
      <alignment vertical="center"/>
    </xf>
    <xf numFmtId="3" fontId="0" fillId="0" borderId="5" xfId="0" applyNumberFormat="1" applyBorder="1" applyAlignment="1">
      <alignment vertical="center"/>
    </xf>
    <xf numFmtId="3" fontId="0" fillId="0" borderId="6" xfId="0" applyNumberFormat="1" applyBorder="1" applyAlignment="1">
      <alignment vertical="center"/>
    </xf>
    <xf numFmtId="3" fontId="0" fillId="0" borderId="12" xfId="0" applyNumberFormat="1" applyBorder="1" applyAlignment="1">
      <alignment vertical="center"/>
    </xf>
    <xf numFmtId="3" fontId="0" fillId="0" borderId="47" xfId="0" applyNumberFormat="1" applyBorder="1" applyAlignment="1"/>
    <xf numFmtId="4" fontId="0" fillId="0" borderId="36" xfId="0" applyNumberFormat="1" applyBorder="1" applyAlignment="1">
      <alignment vertical="center"/>
    </xf>
    <xf numFmtId="4" fontId="0" fillId="0" borderId="44" xfId="0" applyNumberFormat="1" applyBorder="1" applyAlignment="1">
      <alignment vertical="center"/>
    </xf>
    <xf numFmtId="4" fontId="0" fillId="0" borderId="1" xfId="0" applyNumberFormat="1" applyBorder="1" applyAlignment="1">
      <alignment vertical="center"/>
    </xf>
    <xf numFmtId="4" fontId="0" fillId="0" borderId="10" xfId="0" applyNumberFormat="1" applyBorder="1" applyAlignment="1">
      <alignment vertical="center"/>
    </xf>
    <xf numFmtId="3" fontId="0" fillId="0" borderId="14" xfId="0" applyNumberFormat="1" applyBorder="1" applyAlignment="1">
      <alignment vertical="center" wrapText="1"/>
    </xf>
    <xf numFmtId="3" fontId="0" fillId="0" borderId="15" xfId="0" applyNumberFormat="1" applyBorder="1" applyAlignment="1">
      <alignment vertical="center" wrapText="1"/>
    </xf>
    <xf numFmtId="0" fontId="0" fillId="0" borderId="48" xfId="0" applyBorder="1" applyAlignment="1">
      <alignment horizontal="center"/>
    </xf>
    <xf numFmtId="169" fontId="0" fillId="0" borderId="49" xfId="0" applyNumberFormat="1" applyBorder="1" applyAlignment="1">
      <alignment vertical="center"/>
    </xf>
    <xf numFmtId="165" fontId="0" fillId="0" borderId="36" xfId="0" applyNumberFormat="1" applyBorder="1" applyAlignment="1">
      <alignment vertical="center"/>
    </xf>
    <xf numFmtId="165" fontId="0" fillId="0" borderId="5" xfId="0" applyNumberFormat="1" applyBorder="1" applyAlignment="1">
      <alignment vertical="center"/>
    </xf>
    <xf numFmtId="2" fontId="0" fillId="0" borderId="1" xfId="0" applyNumberFormat="1" applyBorder="1" applyAlignment="1"/>
    <xf numFmtId="0" fontId="0" fillId="10" borderId="0" xfId="0" applyFill="1"/>
    <xf numFmtId="0" fontId="0" fillId="9" borderId="8" xfId="0" applyFill="1" applyBorder="1"/>
    <xf numFmtId="4" fontId="0" fillId="9" borderId="3" xfId="0" applyNumberFormat="1" applyFill="1" applyBorder="1" applyAlignment="1">
      <alignment horizontal="center"/>
    </xf>
    <xf numFmtId="4" fontId="0" fillId="9" borderId="3" xfId="0" applyNumberFormat="1" applyFill="1" applyBorder="1" applyAlignment="1">
      <alignment vertical="center"/>
    </xf>
    <xf numFmtId="4" fontId="0" fillId="9" borderId="3" xfId="0" applyNumberFormat="1" applyFill="1" applyBorder="1" applyAlignment="1">
      <alignment horizontal="center" vertical="center"/>
    </xf>
    <xf numFmtId="4" fontId="0" fillId="9" borderId="3" xfId="0" applyNumberFormat="1" applyFill="1" applyBorder="1"/>
    <xf numFmtId="0" fontId="0" fillId="9" borderId="3" xfId="0" applyFill="1" applyBorder="1"/>
    <xf numFmtId="4" fontId="0" fillId="9" borderId="3" xfId="0" applyNumberFormat="1" applyFont="1" applyFill="1" applyBorder="1" applyAlignment="1">
      <alignment vertical="center"/>
    </xf>
    <xf numFmtId="4" fontId="0" fillId="9" borderId="5" xfId="0" applyNumberFormat="1" applyFill="1" applyBorder="1"/>
    <xf numFmtId="169" fontId="0" fillId="0" borderId="3" xfId="0" applyNumberFormat="1" applyBorder="1" applyAlignment="1">
      <alignment vertical="center"/>
    </xf>
    <xf numFmtId="169" fontId="0" fillId="0" borderId="41" xfId="0" applyNumberFormat="1" applyBorder="1" applyAlignment="1">
      <alignment vertical="center"/>
    </xf>
    <xf numFmtId="169" fontId="0" fillId="0" borderId="1" xfId="0" applyNumberFormat="1" applyBorder="1" applyAlignment="1"/>
    <xf numFmtId="169" fontId="0" fillId="0" borderId="3" xfId="0" applyNumberFormat="1" applyBorder="1" applyAlignment="1">
      <alignment horizontal="center" vertical="center"/>
    </xf>
    <xf numFmtId="169" fontId="0" fillId="0" borderId="3" xfId="0" applyNumberFormat="1" applyBorder="1"/>
    <xf numFmtId="169" fontId="0" fillId="0" borderId="0" xfId="0" applyNumberFormat="1" applyBorder="1"/>
    <xf numFmtId="169" fontId="0" fillId="0" borderId="4" xfId="0" applyNumberFormat="1" applyBorder="1"/>
    <xf numFmtId="169" fontId="0" fillId="0" borderId="41" xfId="0" applyNumberFormat="1" applyBorder="1"/>
    <xf numFmtId="169" fontId="0" fillId="0" borderId="0" xfId="0" applyNumberFormat="1"/>
    <xf numFmtId="0" fontId="0" fillId="11" borderId="0" xfId="0" applyFill="1"/>
    <xf numFmtId="3" fontId="0" fillId="0" borderId="32" xfId="0" applyNumberFormat="1" applyBorder="1"/>
    <xf numFmtId="3" fontId="0" fillId="0" borderId="40" xfId="0" applyNumberFormat="1" applyBorder="1"/>
    <xf numFmtId="0" fontId="0" fillId="0" borderId="6" xfId="0" applyBorder="1"/>
    <xf numFmtId="0" fontId="0" fillId="0" borderId="0" xfId="0"/>
    <xf numFmtId="0" fontId="8" fillId="0" borderId="0" xfId="0" applyFont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4" xfId="0" applyBorder="1" applyAlignment="1">
      <alignment horizontal="center" wrapText="1"/>
    </xf>
    <xf numFmtId="0" fontId="0" fillId="0" borderId="0" xfId="0" applyAlignment="1">
      <alignment horizontal="center" wrapText="1"/>
    </xf>
    <xf numFmtId="167" fontId="0" fillId="0" borderId="3" xfId="1" applyNumberFormat="1" applyFont="1" applyBorder="1"/>
    <xf numFmtId="0" fontId="0" fillId="0" borderId="4" xfId="0" applyBorder="1" applyAlignment="1">
      <alignment horizontal="right"/>
    </xf>
    <xf numFmtId="3" fontId="0" fillId="0" borderId="4" xfId="0" applyNumberFormat="1" applyBorder="1"/>
    <xf numFmtId="9" fontId="0" fillId="0" borderId="0" xfId="1" applyFont="1" applyBorder="1"/>
    <xf numFmtId="9" fontId="0" fillId="0" borderId="3" xfId="1" applyFont="1" applyBorder="1"/>
    <xf numFmtId="170" fontId="0" fillId="0" borderId="0" xfId="0" applyNumberFormat="1"/>
    <xf numFmtId="170" fontId="0" fillId="0" borderId="3" xfId="0" applyNumberFormat="1" applyBorder="1"/>
    <xf numFmtId="9" fontId="0" fillId="0" borderId="0" xfId="0" applyNumberFormat="1"/>
    <xf numFmtId="9" fontId="0" fillId="0" borderId="3" xfId="0" applyNumberFormat="1" applyBorder="1"/>
    <xf numFmtId="0" fontId="8" fillId="0" borderId="3" xfId="0" applyFont="1" applyBorder="1"/>
    <xf numFmtId="9" fontId="0" fillId="0" borderId="0" xfId="1" applyFont="1" applyFill="1" applyBorder="1"/>
    <xf numFmtId="9" fontId="0" fillId="0" borderId="3" xfId="1" applyFont="1" applyFill="1" applyBorder="1"/>
    <xf numFmtId="3" fontId="0" fillId="0" borderId="34" xfId="0" applyNumberFormat="1" applyBorder="1"/>
    <xf numFmtId="0" fontId="0" fillId="0" borderId="0" xfId="0" applyAlignment="1">
      <alignment horizontal="center" vertical="center" wrapText="1"/>
    </xf>
    <xf numFmtId="9" fontId="0" fillId="0" borderId="0" xfId="1" applyFont="1"/>
    <xf numFmtId="3" fontId="0" fillId="0" borderId="1" xfId="0" applyNumberFormat="1" applyBorder="1" applyAlignment="1">
      <alignment horizontal="center" vertical="center" wrapText="1"/>
    </xf>
    <xf numFmtId="170" fontId="0" fillId="0" borderId="0" xfId="0" applyNumberFormat="1" applyBorder="1"/>
    <xf numFmtId="0" fontId="0" fillId="0" borderId="0" xfId="0" applyAlignment="1">
      <alignment horizontal="center" vertical="center" wrapText="1"/>
    </xf>
    <xf numFmtId="3" fontId="0" fillId="0" borderId="6" xfId="0" applyNumberFormat="1" applyBorder="1"/>
    <xf numFmtId="3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0" fillId="0" borderId="0" xfId="0" applyBorder="1" applyAlignment="1">
      <alignment horizontal="center" vertical="center" wrapText="1"/>
    </xf>
    <xf numFmtId="167" fontId="0" fillId="0" borderId="0" xfId="0" applyNumberFormat="1"/>
    <xf numFmtId="9" fontId="0" fillId="0" borderId="0" xfId="1" applyNumberFormat="1" applyFont="1"/>
    <xf numFmtId="0" fontId="0" fillId="0" borderId="0" xfId="0" applyBorder="1" applyAlignment="1">
      <alignment horizontal="center" wrapText="1"/>
    </xf>
    <xf numFmtId="9" fontId="0" fillId="0" borderId="0" xfId="0" applyNumberFormat="1" applyBorder="1"/>
    <xf numFmtId="3" fontId="0" fillId="0" borderId="0" xfId="0" applyNumberFormat="1" applyBorder="1" applyAlignment="1">
      <alignment horizontal="center" vertical="center" wrapText="1"/>
    </xf>
    <xf numFmtId="9" fontId="0" fillId="0" borderId="0" xfId="1" applyFont="1" applyBorder="1" applyAlignment="1">
      <alignment horizontal="right" vertical="center" wrapText="1"/>
    </xf>
    <xf numFmtId="3" fontId="0" fillId="7" borderId="3" xfId="0" applyNumberFormat="1" applyFill="1" applyBorder="1"/>
    <xf numFmtId="3" fontId="0" fillId="0" borderId="0" xfId="0" applyNumberFormat="1" applyBorder="1" applyAlignment="1">
      <alignment horizontal="right" vertical="center" wrapText="1"/>
    </xf>
    <xf numFmtId="9" fontId="2" fillId="0" borderId="0" xfId="1" applyFont="1" applyBorder="1" applyAlignment="1">
      <alignment horizontal="right" vertical="center" wrapText="1"/>
    </xf>
    <xf numFmtId="167" fontId="0" fillId="0" borderId="0" xfId="1" applyNumberFormat="1" applyFont="1" applyBorder="1" applyAlignment="1">
      <alignment horizontal="right" vertical="center" wrapText="1"/>
    </xf>
    <xf numFmtId="0" fontId="0" fillId="0" borderId="4" xfId="0" applyBorder="1" applyAlignment="1">
      <alignment horizontal="center" vertical="center" wrapText="1"/>
    </xf>
    <xf numFmtId="3" fontId="0" fillId="0" borderId="4" xfId="0" applyNumberFormat="1" applyBorder="1" applyAlignment="1">
      <alignment horizontal="right" vertical="center" wrapText="1"/>
    </xf>
    <xf numFmtId="9" fontId="2" fillId="0" borderId="4" xfId="1" applyFont="1" applyBorder="1" applyAlignment="1">
      <alignment horizontal="right" vertical="center" wrapText="1"/>
    </xf>
    <xf numFmtId="9" fontId="0" fillId="0" borderId="4" xfId="1" applyFont="1" applyBorder="1" applyAlignment="1">
      <alignment horizontal="right" vertical="center" wrapText="1"/>
    </xf>
    <xf numFmtId="167" fontId="0" fillId="0" borderId="0" xfId="0" applyNumberFormat="1" applyBorder="1"/>
    <xf numFmtId="167" fontId="0" fillId="0" borderId="4" xfId="0" applyNumberFormat="1" applyBorder="1"/>
    <xf numFmtId="167" fontId="2" fillId="0" borderId="0" xfId="0" applyNumberFormat="1" applyFont="1" applyBorder="1"/>
    <xf numFmtId="167" fontId="2" fillId="0" borderId="4" xfId="0" applyNumberFormat="1" applyFont="1" applyBorder="1"/>
    <xf numFmtId="167" fontId="2" fillId="0" borderId="0" xfId="1" applyNumberFormat="1" applyFont="1" applyBorder="1"/>
    <xf numFmtId="0" fontId="0" fillId="0" borderId="5" xfId="0" applyBorder="1"/>
    <xf numFmtId="3" fontId="0" fillId="0" borderId="7" xfId="0" applyNumberFormat="1" applyBorder="1"/>
    <xf numFmtId="2" fontId="0" fillId="11" borderId="3" xfId="0" applyNumberFormat="1" applyFill="1" applyBorder="1"/>
    <xf numFmtId="167" fontId="2" fillId="0" borderId="0" xfId="1" applyNumberFormat="1" applyFont="1" applyBorder="1" applyAlignment="1">
      <alignment horizontal="right" vertical="center" wrapText="1"/>
    </xf>
    <xf numFmtId="167" fontId="2" fillId="0" borderId="4" xfId="1" applyNumberFormat="1" applyFont="1" applyBorder="1" applyAlignment="1">
      <alignment horizontal="right" vertical="center" wrapText="1"/>
    </xf>
    <xf numFmtId="0" fontId="0" fillId="0" borderId="0" xfId="0" applyFill="1" applyBorder="1"/>
    <xf numFmtId="0" fontId="0" fillId="0" borderId="0" xfId="0" applyBorder="1" applyAlignment="1">
      <alignment horizontal="right"/>
    </xf>
    <xf numFmtId="3" fontId="2" fillId="0" borderId="0" xfId="0" applyNumberFormat="1" applyFont="1"/>
    <xf numFmtId="3" fontId="2" fillId="0" borderId="0" xfId="0" applyNumberFormat="1" applyFont="1" applyBorder="1"/>
    <xf numFmtId="164" fontId="0" fillId="0" borderId="0" xfId="0" applyNumberFormat="1"/>
    <xf numFmtId="164" fontId="0" fillId="0" borderId="0" xfId="0" applyNumberFormat="1" applyAlignment="1">
      <alignment horizontal="right"/>
    </xf>
    <xf numFmtId="0" fontId="0" fillId="0" borderId="50" xfId="0" applyBorder="1" applyAlignment="1">
      <alignment horizontal="center" vertical="center" wrapText="1"/>
    </xf>
    <xf numFmtId="3" fontId="0" fillId="6" borderId="51" xfId="0" applyNumberFormat="1" applyFill="1" applyBorder="1"/>
    <xf numFmtId="3" fontId="0" fillId="6" borderId="52" xfId="0" applyNumberFormat="1" applyFill="1" applyBorder="1"/>
    <xf numFmtId="3" fontId="0" fillId="6" borderId="53" xfId="0" applyNumberFormat="1" applyFill="1" applyBorder="1"/>
    <xf numFmtId="3" fontId="0" fillId="6" borderId="27" xfId="0" applyNumberFormat="1" applyFill="1" applyBorder="1"/>
    <xf numFmtId="3" fontId="0" fillId="6" borderId="0" xfId="0" applyNumberFormat="1" applyFill="1" applyBorder="1"/>
    <xf numFmtId="3" fontId="0" fillId="6" borderId="28" xfId="0" applyNumberFormat="1" applyFill="1" applyBorder="1"/>
    <xf numFmtId="3" fontId="0" fillId="6" borderId="29" xfId="0" applyNumberFormat="1" applyFill="1" applyBorder="1"/>
    <xf numFmtId="3" fontId="0" fillId="6" borderId="30" xfId="0" applyNumberFormat="1" applyFill="1" applyBorder="1"/>
    <xf numFmtId="3" fontId="0" fillId="6" borderId="31" xfId="0" applyNumberFormat="1" applyFill="1" applyBorder="1"/>
    <xf numFmtId="3" fontId="0" fillId="6" borderId="54" xfId="0" applyNumberFormat="1" applyFill="1" applyBorder="1"/>
    <xf numFmtId="3" fontId="0" fillId="6" borderId="55" xfId="0" applyNumberFormat="1" applyFill="1" applyBorder="1"/>
    <xf numFmtId="3" fontId="0" fillId="6" borderId="56" xfId="0" applyNumberFormat="1" applyFill="1" applyBorder="1"/>
    <xf numFmtId="3" fontId="0" fillId="6" borderId="57" xfId="0" applyNumberFormat="1" applyFill="1" applyBorder="1"/>
    <xf numFmtId="3" fontId="0" fillId="6" borderId="58" xfId="0" applyNumberFormat="1" applyFill="1" applyBorder="1"/>
    <xf numFmtId="3" fontId="0" fillId="6" borderId="59" xfId="0" applyNumberFormat="1" applyFill="1" applyBorder="1"/>
    <xf numFmtId="0" fontId="0" fillId="6" borderId="51" xfId="0" applyFill="1" applyBorder="1"/>
    <xf numFmtId="0" fontId="0" fillId="6" borderId="52" xfId="0" applyFill="1" applyBorder="1"/>
    <xf numFmtId="0" fontId="0" fillId="6" borderId="53" xfId="0" applyFill="1" applyBorder="1"/>
    <xf numFmtId="0" fontId="0" fillId="6" borderId="27" xfId="0" applyFill="1" applyBorder="1"/>
    <xf numFmtId="0" fontId="0" fillId="6" borderId="0" xfId="0" applyFill="1" applyBorder="1"/>
    <xf numFmtId="0" fontId="0" fillId="6" borderId="28" xfId="0" applyFill="1" applyBorder="1"/>
    <xf numFmtId="0" fontId="0" fillId="6" borderId="29" xfId="0" applyFill="1" applyBorder="1"/>
    <xf numFmtId="0" fontId="0" fillId="6" borderId="30" xfId="0" applyFill="1" applyBorder="1"/>
    <xf numFmtId="0" fontId="0" fillId="6" borderId="31" xfId="0" applyFill="1" applyBorder="1"/>
    <xf numFmtId="3" fontId="0" fillId="0" borderId="60" xfId="0" applyNumberFormat="1" applyBorder="1" applyAlignment="1">
      <alignment vertical="center"/>
    </xf>
    <xf numFmtId="3" fontId="0" fillId="0" borderId="61" xfId="0" applyNumberFormat="1" applyBorder="1" applyAlignment="1">
      <alignment vertical="center"/>
    </xf>
    <xf numFmtId="3" fontId="0" fillId="6" borderId="51" xfId="0" applyNumberFormat="1" applyFill="1" applyBorder="1" applyAlignment="1">
      <alignment vertical="center"/>
    </xf>
    <xf numFmtId="3" fontId="0" fillId="6" borderId="27" xfId="0" applyNumberFormat="1" applyFill="1" applyBorder="1" applyAlignment="1">
      <alignment vertical="center"/>
    </xf>
    <xf numFmtId="3" fontId="0" fillId="6" borderId="29" xfId="0" applyNumberFormat="1" applyFill="1" applyBorder="1" applyAlignment="1">
      <alignment vertical="center"/>
    </xf>
    <xf numFmtId="3" fontId="0" fillId="7" borderId="4" xfId="0" applyNumberFormat="1" applyFill="1" applyBorder="1" applyAlignment="1">
      <alignment vertical="center"/>
    </xf>
    <xf numFmtId="3" fontId="0" fillId="7" borderId="8" xfId="0" applyNumberFormat="1" applyFill="1" applyBorder="1" applyAlignment="1"/>
    <xf numFmtId="3" fontId="0" fillId="7" borderId="5" xfId="0" applyNumberFormat="1" applyFill="1" applyBorder="1" applyAlignment="1"/>
    <xf numFmtId="3" fontId="0" fillId="7" borderId="47" xfId="0" applyNumberFormat="1" applyFill="1" applyBorder="1" applyAlignment="1"/>
    <xf numFmtId="3" fontId="0" fillId="7" borderId="6" xfId="0" applyNumberFormat="1" applyFill="1" applyBorder="1" applyAlignment="1"/>
    <xf numFmtId="3" fontId="0" fillId="5" borderId="54" xfId="0" applyNumberFormat="1" applyFill="1" applyBorder="1"/>
    <xf numFmtId="3" fontId="0" fillId="5" borderId="55" xfId="0" applyNumberFormat="1" applyFill="1" applyBorder="1"/>
    <xf numFmtId="3" fontId="0" fillId="5" borderId="56" xfId="0" applyNumberFormat="1" applyFill="1" applyBorder="1"/>
    <xf numFmtId="3" fontId="0" fillId="0" borderId="62" xfId="0" applyNumberFormat="1" applyBorder="1" applyAlignment="1">
      <alignment horizontal="center"/>
    </xf>
    <xf numFmtId="3" fontId="0" fillId="8" borderId="54" xfId="0" applyNumberFormat="1" applyFill="1" applyBorder="1" applyAlignment="1"/>
    <xf numFmtId="3" fontId="0" fillId="8" borderId="55" xfId="0" applyNumberFormat="1" applyFill="1" applyBorder="1" applyAlignment="1"/>
    <xf numFmtId="3" fontId="0" fillId="8" borderId="56" xfId="0" applyNumberFormat="1" applyFill="1" applyBorder="1" applyAlignment="1"/>
    <xf numFmtId="3" fontId="0" fillId="7" borderId="2" xfId="0" applyNumberFormat="1" applyFill="1" applyBorder="1" applyAlignment="1">
      <alignment horizontal="center"/>
    </xf>
    <xf numFmtId="165" fontId="0" fillId="7" borderId="36" xfId="0" applyNumberFormat="1" applyFill="1" applyBorder="1" applyAlignment="1">
      <alignment vertical="center"/>
    </xf>
    <xf numFmtId="165" fontId="0" fillId="7" borderId="5" xfId="0" applyNumberFormat="1" applyFill="1" applyBorder="1" applyAlignment="1">
      <alignment vertical="center"/>
    </xf>
    <xf numFmtId="169" fontId="0" fillId="7" borderId="49" xfId="0" applyNumberFormat="1" applyFill="1" applyBorder="1" applyAlignment="1">
      <alignment vertical="center"/>
    </xf>
    <xf numFmtId="4" fontId="0" fillId="7" borderId="1" xfId="0" applyNumberFormat="1" applyFill="1" applyBorder="1" applyAlignment="1">
      <alignment vertical="center"/>
    </xf>
    <xf numFmtId="169" fontId="0" fillId="7" borderId="3" xfId="0" applyNumberFormat="1" applyFill="1" applyBorder="1" applyAlignment="1">
      <alignment vertical="center"/>
    </xf>
    <xf numFmtId="169" fontId="0" fillId="7" borderId="3" xfId="0" applyNumberFormat="1" applyFill="1" applyBorder="1" applyAlignment="1">
      <alignment horizontal="center" vertical="center"/>
    </xf>
    <xf numFmtId="169" fontId="0" fillId="7" borderId="3" xfId="0" applyNumberFormat="1" applyFill="1" applyBorder="1"/>
    <xf numFmtId="3" fontId="0" fillId="7" borderId="0" xfId="0" applyNumberFormat="1" applyFill="1" applyBorder="1" applyAlignment="1">
      <alignment vertical="center"/>
    </xf>
    <xf numFmtId="3" fontId="0" fillId="8" borderId="51" xfId="0" applyNumberFormat="1" applyFill="1" applyBorder="1" applyAlignment="1">
      <alignment vertical="center"/>
    </xf>
    <xf numFmtId="0" fontId="0" fillId="8" borderId="52" xfId="0" applyFill="1" applyBorder="1"/>
    <xf numFmtId="3" fontId="0" fillId="8" borderId="53" xfId="0" applyNumberFormat="1" applyFill="1" applyBorder="1" applyAlignment="1">
      <alignment vertical="center"/>
    </xf>
    <xf numFmtId="3" fontId="0" fillId="8" borderId="27" xfId="0" applyNumberFormat="1" applyFill="1" applyBorder="1" applyAlignment="1">
      <alignment vertical="center"/>
    </xf>
    <xf numFmtId="0" fontId="0" fillId="8" borderId="0" xfId="0" applyFill="1" applyBorder="1"/>
    <xf numFmtId="3" fontId="0" fillId="8" borderId="28" xfId="0" applyNumberFormat="1" applyFill="1" applyBorder="1" applyAlignment="1">
      <alignment vertical="center"/>
    </xf>
    <xf numFmtId="3" fontId="0" fillId="8" borderId="29" xfId="0" applyNumberFormat="1" applyFill="1" applyBorder="1" applyAlignment="1">
      <alignment vertical="center"/>
    </xf>
    <xf numFmtId="0" fontId="0" fillId="8" borderId="30" xfId="0" applyFill="1" applyBorder="1"/>
    <xf numFmtId="3" fontId="0" fillId="8" borderId="31" xfId="0" applyNumberFormat="1" applyFill="1" applyBorder="1" applyAlignment="1">
      <alignment vertical="center"/>
    </xf>
    <xf numFmtId="3" fontId="2" fillId="8" borderId="51" xfId="0" applyNumberFormat="1" applyFont="1" applyFill="1" applyBorder="1" applyAlignment="1">
      <alignment vertical="center"/>
    </xf>
    <xf numFmtId="0" fontId="2" fillId="8" borderId="52" xfId="0" applyFont="1" applyFill="1" applyBorder="1"/>
    <xf numFmtId="3" fontId="13" fillId="5" borderId="54" xfId="0" applyNumberFormat="1" applyFont="1" applyFill="1" applyBorder="1"/>
    <xf numFmtId="3" fontId="13" fillId="5" borderId="55" xfId="0" applyNumberFormat="1" applyFont="1" applyFill="1" applyBorder="1"/>
    <xf numFmtId="3" fontId="13" fillId="5" borderId="56" xfId="0" applyNumberFormat="1" applyFont="1" applyFill="1" applyBorder="1"/>
    <xf numFmtId="3" fontId="0" fillId="8" borderId="51" xfId="0" applyNumberFormat="1" applyFill="1" applyBorder="1"/>
    <xf numFmtId="3" fontId="0" fillId="8" borderId="52" xfId="0" applyNumberFormat="1" applyFill="1" applyBorder="1"/>
    <xf numFmtId="3" fontId="0" fillId="8" borderId="53" xfId="0" applyNumberFormat="1" applyFill="1" applyBorder="1"/>
    <xf numFmtId="3" fontId="0" fillId="8" borderId="27" xfId="0" applyNumberFormat="1" applyFill="1" applyBorder="1"/>
    <xf numFmtId="3" fontId="0" fillId="8" borderId="0" xfId="0" applyNumberFormat="1" applyFill="1" applyBorder="1"/>
    <xf numFmtId="3" fontId="0" fillId="8" borderId="28" xfId="0" applyNumberFormat="1" applyFill="1" applyBorder="1"/>
    <xf numFmtId="3" fontId="0" fillId="8" borderId="29" xfId="0" applyNumberFormat="1" applyFill="1" applyBorder="1"/>
    <xf numFmtId="3" fontId="0" fillId="8" borderId="30" xfId="0" applyNumberFormat="1" applyFill="1" applyBorder="1"/>
    <xf numFmtId="3" fontId="0" fillId="8" borderId="31" xfId="0" applyNumberFormat="1" applyFill="1" applyBorder="1"/>
    <xf numFmtId="0" fontId="0" fillId="0" borderId="50" xfId="0" applyFill="1" applyBorder="1" applyAlignment="1">
      <alignment horizontal="center" vertical="center" wrapText="1"/>
    </xf>
    <xf numFmtId="3" fontId="0" fillId="8" borderId="57" xfId="0" applyNumberFormat="1" applyFill="1" applyBorder="1"/>
    <xf numFmtId="3" fontId="0" fillId="8" borderId="58" xfId="0" applyNumberFormat="1" applyFill="1" applyBorder="1"/>
    <xf numFmtId="3" fontId="0" fillId="8" borderId="59" xfId="0" applyNumberFormat="1" applyFill="1" applyBorder="1"/>
    <xf numFmtId="0" fontId="0" fillId="8" borderId="51" xfId="0" applyFill="1" applyBorder="1"/>
    <xf numFmtId="0" fontId="0" fillId="8" borderId="53" xfId="0" applyFill="1" applyBorder="1"/>
    <xf numFmtId="0" fontId="0" fillId="8" borderId="27" xfId="0" applyFill="1" applyBorder="1"/>
    <xf numFmtId="0" fontId="0" fillId="8" borderId="28" xfId="0" applyFill="1" applyBorder="1"/>
    <xf numFmtId="0" fontId="0" fillId="8" borderId="29" xfId="0" applyFill="1" applyBorder="1"/>
    <xf numFmtId="0" fontId="0" fillId="8" borderId="31" xfId="0" applyFill="1" applyBorder="1"/>
    <xf numFmtId="0" fontId="0" fillId="0" borderId="0" xfId="0" applyAlignment="1">
      <alignment horizont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6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45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6" xfId="0" applyBorder="1" applyAlignment="1">
      <alignment horizontal="center" wrapText="1"/>
    </xf>
    <xf numFmtId="0" fontId="0" fillId="0" borderId="17" xfId="0" applyBorder="1" applyAlignment="1">
      <alignment horizontal="center" wrapText="1"/>
    </xf>
    <xf numFmtId="0" fontId="0" fillId="0" borderId="18" xfId="0" applyBorder="1" applyAlignment="1">
      <alignment horizontal="center" wrapText="1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9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19" xfId="0" applyFill="1" applyBorder="1" applyAlignment="1">
      <alignment horizontal="center" vertical="center" wrapText="1"/>
    </xf>
    <xf numFmtId="0" fontId="0" fillId="0" borderId="20" xfId="0" applyFill="1" applyBorder="1" applyAlignment="1">
      <alignment horizontal="center" vertical="center" wrapText="1"/>
    </xf>
    <xf numFmtId="0" fontId="0" fillId="0" borderId="21" xfId="0" applyFill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 wrapText="1"/>
    </xf>
    <xf numFmtId="0" fontId="0" fillId="0" borderId="25" xfId="0" applyFill="1" applyBorder="1" applyAlignment="1">
      <alignment horizontal="center" vertical="center" wrapText="1"/>
    </xf>
    <xf numFmtId="0" fontId="0" fillId="0" borderId="24" xfId="0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0" fontId="0" fillId="0" borderId="9" xfId="0" applyBorder="1" applyAlignment="1">
      <alignment horizontal="center" vertical="center" wrapText="1"/>
    </xf>
    <xf numFmtId="3" fontId="0" fillId="0" borderId="3" xfId="0" applyNumberFormat="1" applyBorder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3" fontId="0" fillId="0" borderId="3" xfId="0" applyNumberFormat="1" applyBorder="1" applyAlignment="1">
      <alignment horizontal="center"/>
    </xf>
    <xf numFmtId="3" fontId="0" fillId="0" borderId="0" xfId="0" applyNumberFormat="1" applyAlignment="1">
      <alignment horizontal="center"/>
    </xf>
    <xf numFmtId="3" fontId="0" fillId="0" borderId="32" xfId="0" applyNumberFormat="1" applyBorder="1" applyAlignment="1">
      <alignment horizontal="center" vertical="center"/>
    </xf>
    <xf numFmtId="3" fontId="0" fillId="0" borderId="40" xfId="0" applyNumberFormat="1" applyBorder="1" applyAlignment="1">
      <alignment horizontal="center" vertical="center"/>
    </xf>
    <xf numFmtId="3" fontId="0" fillId="0" borderId="40" xfId="0" applyNumberFormat="1" applyBorder="1" applyAlignment="1">
      <alignment horizontal="center" vertical="center" wrapText="1"/>
    </xf>
    <xf numFmtId="3" fontId="0" fillId="0" borderId="0" xfId="0" applyNumberFormat="1" applyAlignment="1">
      <alignment horizontal="center" vertical="center" wrapText="1"/>
    </xf>
    <xf numFmtId="3" fontId="0" fillId="0" borderId="34" xfId="0" applyNumberFormat="1" applyBorder="1" applyAlignment="1">
      <alignment horizontal="center" vertical="center" wrapText="1"/>
    </xf>
    <xf numFmtId="3" fontId="0" fillId="0" borderId="4" xfId="0" applyNumberFormat="1" applyBorder="1" applyAlignment="1">
      <alignment horizontal="center" vertical="center" wrapText="1"/>
    </xf>
    <xf numFmtId="3" fontId="0" fillId="0" borderId="0" xfId="0" applyNumberFormat="1" applyAlignment="1">
      <alignment horizontal="center" wrapText="1"/>
    </xf>
    <xf numFmtId="3" fontId="0" fillId="0" borderId="34" xfId="0" applyNumberFormat="1" applyBorder="1" applyAlignment="1">
      <alignment horizontal="center" vertical="center"/>
    </xf>
    <xf numFmtId="3" fontId="0" fillId="0" borderId="4" xfId="0" applyNumberFormat="1" applyBorder="1" applyAlignment="1">
      <alignment horizontal="center" vertical="center"/>
    </xf>
    <xf numFmtId="0" fontId="0" fillId="9" borderId="1" xfId="0" applyFill="1" applyBorder="1" applyAlignment="1">
      <alignment horizontal="center"/>
    </xf>
    <xf numFmtId="0" fontId="0" fillId="9" borderId="8" xfId="0" applyFill="1" applyBorder="1" applyAlignment="1">
      <alignment horizontal="center"/>
    </xf>
    <xf numFmtId="0" fontId="0" fillId="9" borderId="9" xfId="0" applyFill="1" applyBorder="1" applyAlignment="1">
      <alignment horizontal="center"/>
    </xf>
    <xf numFmtId="0" fontId="0" fillId="9" borderId="2" xfId="0" applyFill="1" applyBorder="1" applyAlignment="1">
      <alignment horizontal="center"/>
    </xf>
    <xf numFmtId="0" fontId="0" fillId="0" borderId="2" xfId="0" applyBorder="1" applyAlignment="1">
      <alignment horizontal="center"/>
    </xf>
    <xf numFmtId="4" fontId="0" fillId="0" borderId="3" xfId="0" applyNumberFormat="1" applyBorder="1" applyAlignment="1">
      <alignment horizontal="center" vertical="center"/>
    </xf>
    <xf numFmtId="4" fontId="0" fillId="0" borderId="4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/>
    </xf>
    <xf numFmtId="4" fontId="0" fillId="0" borderId="3" xfId="0" applyNumberFormat="1" applyFont="1" applyBorder="1" applyAlignment="1">
      <alignment horizontal="center" vertical="center"/>
    </xf>
    <xf numFmtId="4" fontId="8" fillId="0" borderId="3" xfId="0" applyNumberFormat="1" applyFont="1" applyBorder="1" applyAlignment="1">
      <alignment horizontal="center" vertical="center"/>
    </xf>
    <xf numFmtId="4" fontId="8" fillId="0" borderId="41" xfId="0" applyNumberFormat="1" applyFont="1" applyBorder="1" applyAlignment="1">
      <alignment horizontal="center" vertical="center"/>
    </xf>
    <xf numFmtId="4" fontId="0" fillId="0" borderId="36" xfId="0" applyNumberFormat="1" applyBorder="1" applyAlignment="1">
      <alignment horizontal="center" vertical="center"/>
    </xf>
    <xf numFmtId="4" fontId="0" fillId="0" borderId="44" xfId="0" applyNumberFormat="1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4" fontId="0" fillId="0" borderId="10" xfId="0" applyNumberFormat="1" applyBorder="1" applyAlignment="1">
      <alignment horizontal="center" vertical="center"/>
    </xf>
    <xf numFmtId="3" fontId="0" fillId="0" borderId="14" xfId="0" applyNumberFormat="1" applyBorder="1" applyAlignment="1">
      <alignment horizontal="center" vertical="center" wrapText="1"/>
    </xf>
    <xf numFmtId="3" fontId="0" fillId="0" borderId="15" xfId="0" applyNumberFormat="1" applyBorder="1" applyAlignment="1">
      <alignment horizontal="center" vertical="center" wrapText="1"/>
    </xf>
    <xf numFmtId="0" fontId="10" fillId="0" borderId="3" xfId="0" applyFont="1" applyBorder="1" applyAlignment="1">
      <alignment horizontal="left"/>
    </xf>
    <xf numFmtId="0" fontId="10" fillId="0" borderId="0" xfId="0" applyFont="1" applyBorder="1" applyAlignment="1">
      <alignment horizontal="left"/>
    </xf>
    <xf numFmtId="0" fontId="10" fillId="0" borderId="11" xfId="0" applyFont="1" applyBorder="1" applyAlignment="1">
      <alignment horizontal="left"/>
    </xf>
    <xf numFmtId="0" fontId="10" fillId="0" borderId="32" xfId="0" applyFont="1" applyBorder="1" applyAlignment="1">
      <alignment horizontal="left"/>
    </xf>
    <xf numFmtId="0" fontId="10" fillId="0" borderId="40" xfId="0" applyFont="1" applyBorder="1" applyAlignment="1">
      <alignment horizontal="left"/>
    </xf>
    <xf numFmtId="0" fontId="10" fillId="0" borderId="42" xfId="0" applyFont="1" applyBorder="1" applyAlignment="1">
      <alignment horizontal="left"/>
    </xf>
    <xf numFmtId="3" fontId="0" fillId="0" borderId="8" xfId="0" applyNumberFormat="1" applyBorder="1" applyAlignment="1">
      <alignment horizontal="center"/>
    </xf>
    <xf numFmtId="3" fontId="0" fillId="0" borderId="9" xfId="0" applyNumberFormat="1" applyBorder="1" applyAlignment="1">
      <alignment horizontal="center"/>
    </xf>
    <xf numFmtId="3" fontId="0" fillId="0" borderId="35" xfId="0" applyNumberFormat="1" applyBorder="1" applyAlignment="1">
      <alignment horizontal="center"/>
    </xf>
    <xf numFmtId="3" fontId="0" fillId="0" borderId="0" xfId="0" applyNumberFormat="1" applyBorder="1" applyAlignment="1">
      <alignment horizontal="center" vertical="center"/>
    </xf>
    <xf numFmtId="3" fontId="0" fillId="0" borderId="11" xfId="0" applyNumberFormat="1" applyBorder="1" applyAlignment="1">
      <alignment horizontal="center" vertical="center"/>
    </xf>
    <xf numFmtId="3" fontId="0" fillId="0" borderId="5" xfId="0" applyNumberFormat="1" applyBorder="1" applyAlignment="1">
      <alignment horizontal="center" vertical="center"/>
    </xf>
    <xf numFmtId="3" fontId="0" fillId="0" borderId="6" xfId="0" applyNumberFormat="1" applyBorder="1" applyAlignment="1">
      <alignment horizontal="center" vertical="center"/>
    </xf>
    <xf numFmtId="3" fontId="0" fillId="0" borderId="12" xfId="0" applyNumberFormat="1" applyBorder="1" applyAlignment="1">
      <alignment horizontal="center" vertical="center"/>
    </xf>
    <xf numFmtId="3" fontId="0" fillId="0" borderId="14" xfId="0" applyNumberFormat="1" applyBorder="1" applyAlignment="1">
      <alignment horizontal="center" vertical="center"/>
    </xf>
    <xf numFmtId="3" fontId="0" fillId="0" borderId="15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6">
    <cellStyle name="Normál" xfId="0" builtinId="0"/>
    <cellStyle name="Normál 2" xfId="3" xr:uid="{9829440C-A0E9-47E3-881C-D65BDCA059F8}"/>
    <cellStyle name="Normál 3" xfId="4" xr:uid="{C3EEBE5F-9E5E-4CC0-A238-930744B40E4D}"/>
    <cellStyle name="Normál 8" xfId="2" xr:uid="{0C28D703-B89D-4ABA-A1FF-D4D84EE3E9FF}"/>
    <cellStyle name="Százalék" xfId="1" builtinId="5"/>
    <cellStyle name="Százalék 2" xfId="5" xr:uid="{AEE5E275-236B-4F82-B534-A1FC17024B7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10" Type="http://schemas.openxmlformats.org/officeDocument/2006/relationships/externalLink" Target="externalLinks/externalLink1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Peremszámok!$C$2</c:f>
          <c:strCache>
            <c:ptCount val="1"/>
            <c:pt idx="0">
              <c:v>Kibocsátás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Peremszámok!$C$3</c:f>
              <c:strCache>
                <c:ptCount val="1"/>
                <c:pt idx="0">
                  <c:v>Folyó ár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Peremszámok!$C$5:$C$35</c:f>
              <c:numCache>
                <c:formatCode>#,##0</c:formatCode>
                <c:ptCount val="31"/>
                <c:pt idx="0">
                  <c:v>11194873</c:v>
                </c:pt>
                <c:pt idx="1">
                  <c:v>13866010</c:v>
                </c:pt>
                <c:pt idx="2">
                  <c:v>17349723</c:v>
                </c:pt>
                <c:pt idx="3">
                  <c:v>20692431</c:v>
                </c:pt>
                <c:pt idx="4">
                  <c:v>23587112</c:v>
                </c:pt>
                <c:pt idx="5">
                  <c:v>27746073</c:v>
                </c:pt>
                <c:pt idx="6">
                  <c:v>31659408</c:v>
                </c:pt>
                <c:pt idx="7">
                  <c:v>34656026</c:v>
                </c:pt>
                <c:pt idx="8">
                  <c:v>37780177</c:v>
                </c:pt>
                <c:pt idx="9">
                  <c:v>41356171</c:v>
                </c:pt>
                <c:pt idx="10">
                  <c:v>45566084</c:v>
                </c:pt>
                <c:pt idx="11">
                  <c:v>50642545</c:v>
                </c:pt>
                <c:pt idx="12">
                  <c:v>52708440</c:v>
                </c:pt>
                <c:pt idx="13">
                  <c:v>56386930</c:v>
                </c:pt>
                <c:pt idx="14">
                  <c:v>52605415</c:v>
                </c:pt>
                <c:pt idx="15">
                  <c:v>55427896</c:v>
                </c:pt>
                <c:pt idx="16">
                  <c:v>58717003</c:v>
                </c:pt>
                <c:pt idx="17">
                  <c:v>58297696</c:v>
                </c:pt>
                <c:pt idx="18">
                  <c:v>60994346</c:v>
                </c:pt>
                <c:pt idx="19">
                  <c:v>65547230</c:v>
                </c:pt>
                <c:pt idx="20">
                  <c:v>69186242</c:v>
                </c:pt>
                <c:pt idx="21">
                  <c:v>71529387</c:v>
                </c:pt>
                <c:pt idx="22">
                  <c:v>77005555</c:v>
                </c:pt>
                <c:pt idx="23">
                  <c:v>84833997</c:v>
                </c:pt>
                <c:pt idx="24">
                  <c:v>92764658</c:v>
                </c:pt>
                <c:pt idx="25">
                  <c:v>94826378.368549481</c:v>
                </c:pt>
                <c:pt idx="26">
                  <c:v>105213140.53132306</c:v>
                </c:pt>
                <c:pt idx="27">
                  <c:v>114550792.23101041</c:v>
                </c:pt>
                <c:pt idx="28">
                  <c:v>125239614.90014589</c:v>
                </c:pt>
                <c:pt idx="29">
                  <c:v>137501738.04243836</c:v>
                </c:pt>
                <c:pt idx="30">
                  <c:v>151601517.14593571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4EB-4370-84A7-20C13AAF5FCA}"/>
            </c:ext>
          </c:extLst>
        </c:ser>
        <c:ser>
          <c:idx val="3"/>
          <c:order val="3"/>
          <c:tx>
            <c:strRef>
              <c:f>Peremszámok!$G$3</c:f>
              <c:strCache>
                <c:ptCount val="1"/>
                <c:pt idx="0">
                  <c:v>2015 évi ár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Peremszámok!$H$5:$H$35</c:f>
              <c:numCache>
                <c:formatCode>#,##0</c:formatCode>
                <c:ptCount val="31"/>
                <c:pt idx="0">
                  <c:v>33096044.761971992</c:v>
                </c:pt>
                <c:pt idx="1">
                  <c:v>33987345.105540685</c:v>
                </c:pt>
                <c:pt idx="2">
                  <c:v>36012465.852330692</c:v>
                </c:pt>
                <c:pt idx="3">
                  <c:v>38587915.114861265</c:v>
                </c:pt>
                <c:pt idx="4">
                  <c:v>40546891.680810429</c:v>
                </c:pt>
                <c:pt idx="5">
                  <c:v>43780294.539122574</c:v>
                </c:pt>
                <c:pt idx="6">
                  <c:v>47359908.810058177</c:v>
                </c:pt>
                <c:pt idx="7">
                  <c:v>50988812.250866257</c:v>
                </c:pt>
                <c:pt idx="8">
                  <c:v>53665493.365631267</c:v>
                </c:pt>
                <c:pt idx="9">
                  <c:v>57045626.612608977</c:v>
                </c:pt>
                <c:pt idx="10">
                  <c:v>60306508.106715523</c:v>
                </c:pt>
                <c:pt idx="11">
                  <c:v>63164748.887399778</c:v>
                </c:pt>
                <c:pt idx="12">
                  <c:v>63231150.860311434</c:v>
                </c:pt>
                <c:pt idx="13">
                  <c:v>65079509.324927054</c:v>
                </c:pt>
                <c:pt idx="14">
                  <c:v>59191191.987866364</c:v>
                </c:pt>
                <c:pt idx="15">
                  <c:v>60594368.294420138</c:v>
                </c:pt>
                <c:pt idx="16">
                  <c:v>61922546.034651242</c:v>
                </c:pt>
                <c:pt idx="17">
                  <c:v>59753501.136664376</c:v>
                </c:pt>
                <c:pt idx="18">
                  <c:v>62146543.041619159</c:v>
                </c:pt>
                <c:pt idx="19">
                  <c:v>66064282.947905637</c:v>
                </c:pt>
                <c:pt idx="20">
                  <c:v>69186242</c:v>
                </c:pt>
                <c:pt idx="21">
                  <c:v>70863607</c:v>
                </c:pt>
                <c:pt idx="22">
                  <c:v>74171280.64008376</c:v>
                </c:pt>
                <c:pt idx="23">
                  <c:v>78740921.956456885</c:v>
                </c:pt>
                <c:pt idx="24">
                  <c:v>82985398.812040165</c:v>
                </c:pt>
                <c:pt idx="25">
                  <c:v>82663201.00490284</c:v>
                </c:pt>
                <c:pt idx="26">
                  <c:v>87929597.70918262</c:v>
                </c:pt>
                <c:pt idx="27">
                  <c:v>91316005.424437299</c:v>
                </c:pt>
                <c:pt idx="28">
                  <c:v>94751690.668215871</c:v>
                </c:pt>
                <c:pt idx="29">
                  <c:v>98236653.440517887</c:v>
                </c:pt>
                <c:pt idx="30">
                  <c:v>101770893.74134304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4EB-4370-84A7-20C13AAF5F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7244031"/>
        <c:axId val="547233631"/>
      </c:lineChart>
      <c:lineChart>
        <c:grouping val="standard"/>
        <c:varyColors val="0"/>
        <c:ser>
          <c:idx val="1"/>
          <c:order val="1"/>
          <c:tx>
            <c:strRef>
              <c:f>Peremszámok!$E$3</c:f>
              <c:strCache>
                <c:ptCount val="1"/>
                <c:pt idx="0">
                  <c:v>Folyó árak az előző évi árak %-ban (ptpt-1)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Peremszámok!$E$5:$E$35</c:f>
              <c:numCache>
                <c:formatCode>#\ ##0.0000</c:formatCode>
                <c:ptCount val="31"/>
                <c:pt idx="1">
                  <c:v>1.2061218686716377</c:v>
                </c:pt>
                <c:pt idx="2">
                  <c:v>1.180879050871176</c:v>
                </c:pt>
                <c:pt idx="3">
                  <c:v>1.1130649707751223</c:v>
                </c:pt>
                <c:pt idx="4">
                  <c:v>1.0848182959828523</c:v>
                </c:pt>
                <c:pt idx="5">
                  <c:v>1.0894458357077126</c:v>
                </c:pt>
                <c:pt idx="6">
                  <c:v>1.0547974875893225</c:v>
                </c:pt>
                <c:pt idx="7">
                  <c:v>1.0167447370311822</c:v>
                </c:pt>
                <c:pt idx="8">
                  <c:v>1.0357739797139489</c:v>
                </c:pt>
                <c:pt idx="9">
                  <c:v>1.0297910321697559</c:v>
                </c:pt>
                <c:pt idx="10">
                  <c:v>1.0422203685660092</c:v>
                </c:pt>
                <c:pt idx="11">
                  <c:v>1.0611168837988103</c:v>
                </c:pt>
                <c:pt idx="12">
                  <c:v>1.0397006788513357</c:v>
                </c:pt>
                <c:pt idx="13">
                  <c:v>1.0394057232289928</c:v>
                </c:pt>
                <c:pt idx="14">
                  <c:v>1.0257444719770206</c:v>
                </c:pt>
                <c:pt idx="15">
                  <c:v>1.0292544798780818</c:v>
                </c:pt>
                <c:pt idx="16">
                  <c:v>1.0366184746881197</c:v>
                </c:pt>
                <c:pt idx="17">
                  <c:v>1.0288995054257004</c:v>
                </c:pt>
                <c:pt idx="18">
                  <c:v>1.0059689339542441</c:v>
                </c:pt>
                <c:pt idx="19">
                  <c:v>1.010915869722586</c:v>
                </c:pt>
                <c:pt idx="20">
                  <c:v>1.0078882501656536</c:v>
                </c:pt>
                <c:pt idx="21">
                  <c:v>1.0093952316031556</c:v>
                </c:pt>
                <c:pt idx="22">
                  <c:v>1.0285491009346206</c:v>
                </c:pt>
                <c:pt idx="23">
                  <c:v>1.037727095012106</c:v>
                </c:pt>
                <c:pt idx="24">
                  <c:v>1.0375557184238888</c:v>
                </c:pt>
                <c:pt idx="25">
                  <c:v>1.0262096239846346</c:v>
                </c:pt>
                <c:pt idx="26">
                  <c:v>1.0430808023841358</c:v>
                </c:pt>
                <c:pt idx="27">
                  <c:v>1.0483741259165527</c:v>
                </c:pt>
                <c:pt idx="28">
                  <c:v>1.0536674494489695</c:v>
                </c:pt>
                <c:pt idx="29">
                  <c:v>1.0589607729813864</c:v>
                </c:pt>
                <c:pt idx="30">
                  <c:v>1.0642540965138032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4EB-4370-84A7-20C13AAF5FCA}"/>
            </c:ext>
          </c:extLst>
        </c:ser>
        <c:ser>
          <c:idx val="2"/>
          <c:order val="2"/>
          <c:tx>
            <c:strRef>
              <c:f>Peremszámok!$F$3</c:f>
              <c:strCache>
                <c:ptCount val="1"/>
                <c:pt idx="0">
                  <c:v>Folyó árak a 2015 évi árak %-ban (ptp14)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Peremszámok!$F$5:$F$35</c:f>
              <c:numCache>
                <c:formatCode>#\ ##0.0000</c:formatCode>
                <c:ptCount val="31"/>
                <c:pt idx="0">
                  <c:v>0.3382541049999766</c:v>
                </c:pt>
                <c:pt idx="1">
                  <c:v>0.40797567320842415</c:v>
                </c:pt>
                <c:pt idx="2">
                  <c:v>0.48176992575689298</c:v>
                </c:pt>
                <c:pt idx="3">
                  <c:v>0.53624122833292898</c:v>
                </c:pt>
                <c:pt idx="4">
                  <c:v>0.58172429555587957</c:v>
                </c:pt>
                <c:pt idx="5">
                  <c:v>0.63375711132335555</c:v>
                </c:pt>
                <c:pt idx="6">
                  <c:v>0.66848540876574192</c:v>
                </c:pt>
                <c:pt idx="7">
                  <c:v>0.67967902114470657</c:v>
                </c:pt>
                <c:pt idx="8">
                  <c:v>0.70399384465913395</c:v>
                </c:pt>
                <c:pt idx="9">
                  <c:v>0.72496654793268434</c:v>
                </c:pt>
                <c:pt idx="10">
                  <c:v>0.75557490278442963</c:v>
                </c:pt>
                <c:pt idx="11">
                  <c:v>0.80175328631920306</c:v>
                </c:pt>
                <c:pt idx="12">
                  <c:v>0.83358343605736474</c:v>
                </c:pt>
                <c:pt idx="13">
                  <c:v>0.86643139422691406</c:v>
                </c:pt>
                <c:pt idx="14">
                  <c:v>0.88873721297559971</c:v>
                </c:pt>
                <c:pt idx="15">
                  <c:v>0.91473675788949693</c:v>
                </c:pt>
                <c:pt idx="16">
                  <c:v>0.94823302270456622</c:v>
                </c:pt>
                <c:pt idx="17">
                  <c:v>0.97563648808904513</c:v>
                </c:pt>
                <c:pt idx="18">
                  <c:v>0.98145999784979931</c:v>
                </c:pt>
                <c:pt idx="19">
                  <c:v>0.99217348732425725</c:v>
                </c:pt>
                <c:pt idx="20">
                  <c:v>1</c:v>
                </c:pt>
                <c:pt idx="21">
                  <c:v>1.0093952316031556</c:v>
                </c:pt>
                <c:pt idx="22">
                  <c:v>1.0382125579531187</c:v>
                </c:pt>
                <c:pt idx="23">
                  <c:v>1.0773813017697778</c:v>
                </c:pt>
                <c:pt idx="24">
                  <c:v>1.1178431305742063</c:v>
                </c:pt>
                <c:pt idx="25">
                  <c:v>1.147141378700363</c:v>
                </c:pt>
                <c:pt idx="26">
                  <c:v>1.1965611497428186</c:v>
                </c:pt>
                <c:pt idx="27">
                  <c:v>1.2544437494673326</c:v>
                </c:pt>
                <c:pt idx="28">
                  <c:v>1.3217665459784464</c:v>
                </c:pt>
                <c:pt idx="29">
                  <c:v>1.3996989232302728</c:v>
                </c:pt>
                <c:pt idx="30">
                  <c:v>1.4896353129337772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4EB-4370-84A7-20C13AAF5F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9794431"/>
        <c:axId val="729791519"/>
      </c:lineChart>
      <c:catAx>
        <c:axId val="547244031"/>
        <c:scaling>
          <c:orientation val="minMax"/>
        </c:scaling>
        <c:delete val="0"/>
        <c:axPos val="b"/>
        <c:title>
          <c:tx>
            <c:strRef>
              <c:f>Peremszámok!$B$61</c:f>
              <c:strCache>
                <c:ptCount val="1"/>
                <c:pt idx="0">
                  <c:v>Az 1995 utáni növekedés folytatása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547233631"/>
        <c:crosses val="autoZero"/>
        <c:auto val="1"/>
        <c:lblAlgn val="ctr"/>
        <c:lblOffset val="100"/>
        <c:noMultiLvlLbl val="0"/>
      </c:catAx>
      <c:valAx>
        <c:axId val="547233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547244031"/>
        <c:crosses val="autoZero"/>
        <c:crossBetween val="between"/>
      </c:valAx>
      <c:valAx>
        <c:axId val="729791519"/>
        <c:scaling>
          <c:orientation val="minMax"/>
        </c:scaling>
        <c:delete val="0"/>
        <c:axPos val="r"/>
        <c:numFmt formatCode="#\ ##0.00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729794431"/>
        <c:crosses val="max"/>
        <c:crossBetween val="between"/>
      </c:valAx>
      <c:catAx>
        <c:axId val="72979443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29791519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Peremszámok!$BJ$2</c:f>
          <c:strCache>
            <c:ptCount val="1"/>
            <c:pt idx="0">
              <c:v>Foglalkoztatás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Peremszámok!$BJ$3</c:f>
              <c:strCache>
                <c:ptCount val="1"/>
                <c:pt idx="0">
                  <c:v>Esődleges foglalkoztatottak dogozó nyugdíjasokkal együtt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Peremszámok!$BJ$5:$BJ$35</c:f>
              <c:numCache>
                <c:formatCode>#,##0</c:formatCode>
                <c:ptCount val="31"/>
                <c:pt idx="0">
                  <c:v>3678800</c:v>
                </c:pt>
                <c:pt idx="1">
                  <c:v>3648200</c:v>
                </c:pt>
                <c:pt idx="2">
                  <c:v>3646400</c:v>
                </c:pt>
                <c:pt idx="3">
                  <c:v>3697800</c:v>
                </c:pt>
                <c:pt idx="4">
                  <c:v>3811400</c:v>
                </c:pt>
                <c:pt idx="5">
                  <c:v>3876200</c:v>
                </c:pt>
                <c:pt idx="6">
                  <c:v>3883300</c:v>
                </c:pt>
                <c:pt idx="7">
                  <c:v>3883700</c:v>
                </c:pt>
                <c:pt idx="8">
                  <c:v>3921900</c:v>
                </c:pt>
                <c:pt idx="9">
                  <c:v>3900400</c:v>
                </c:pt>
                <c:pt idx="10">
                  <c:v>3901500</c:v>
                </c:pt>
                <c:pt idx="11">
                  <c:v>3928400</c:v>
                </c:pt>
                <c:pt idx="12">
                  <c:v>3902000</c:v>
                </c:pt>
                <c:pt idx="13">
                  <c:v>3848300</c:v>
                </c:pt>
                <c:pt idx="14">
                  <c:v>3747800</c:v>
                </c:pt>
                <c:pt idx="15">
                  <c:v>3734300</c:v>
                </c:pt>
                <c:pt idx="16">
                  <c:v>3759000</c:v>
                </c:pt>
                <c:pt idx="17">
                  <c:v>3827200</c:v>
                </c:pt>
                <c:pt idx="18">
                  <c:v>3892700</c:v>
                </c:pt>
                <c:pt idx="19">
                  <c:v>4100700</c:v>
                </c:pt>
                <c:pt idx="20">
                  <c:v>4210500</c:v>
                </c:pt>
                <c:pt idx="21">
                  <c:v>4351600</c:v>
                </c:pt>
                <c:pt idx="22">
                  <c:v>4421300</c:v>
                </c:pt>
                <c:pt idx="23">
                  <c:v>4469500</c:v>
                </c:pt>
                <c:pt idx="24">
                  <c:v>4512100</c:v>
                </c:pt>
                <c:pt idx="25">
                  <c:v>5098190</c:v>
                </c:pt>
                <c:pt idx="26">
                  <c:v>5007346.6666666977</c:v>
                </c:pt>
                <c:pt idx="27">
                  <c:v>5149293.8095238023</c:v>
                </c:pt>
                <c:pt idx="28">
                  <c:v>5291240.9523809291</c:v>
                </c:pt>
                <c:pt idx="29">
                  <c:v>5433188.0952380858</c:v>
                </c:pt>
                <c:pt idx="30">
                  <c:v>5575135.2380952202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58-40C4-968E-43A52006EE30}"/>
            </c:ext>
          </c:extLst>
        </c:ser>
        <c:ser>
          <c:idx val="1"/>
          <c:order val="1"/>
          <c:tx>
            <c:strRef>
              <c:f>Peremszámok!$BK$3</c:f>
              <c:strCache>
                <c:ptCount val="1"/>
                <c:pt idx="0">
                  <c:v>Munkanélküliek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Peremszámok!$BK$5:$BK$35</c:f>
              <c:numCache>
                <c:formatCode>#,##0</c:formatCode>
                <c:ptCount val="31"/>
                <c:pt idx="0">
                  <c:v>416400</c:v>
                </c:pt>
                <c:pt idx="1">
                  <c:v>400100</c:v>
                </c:pt>
                <c:pt idx="2">
                  <c:v>348800</c:v>
                </c:pt>
                <c:pt idx="3">
                  <c:v>313000</c:v>
                </c:pt>
                <c:pt idx="4">
                  <c:v>284700</c:v>
                </c:pt>
                <c:pt idx="5">
                  <c:v>263700</c:v>
                </c:pt>
                <c:pt idx="6">
                  <c:v>234100</c:v>
                </c:pt>
                <c:pt idx="7">
                  <c:v>238900</c:v>
                </c:pt>
                <c:pt idx="8">
                  <c:v>244500</c:v>
                </c:pt>
                <c:pt idx="9">
                  <c:v>252900</c:v>
                </c:pt>
                <c:pt idx="10">
                  <c:v>303900</c:v>
                </c:pt>
                <c:pt idx="11">
                  <c:v>318300</c:v>
                </c:pt>
                <c:pt idx="12">
                  <c:v>312100</c:v>
                </c:pt>
                <c:pt idx="13">
                  <c:v>326400</c:v>
                </c:pt>
                <c:pt idx="14">
                  <c:v>417800</c:v>
                </c:pt>
                <c:pt idx="15">
                  <c:v>469400</c:v>
                </c:pt>
                <c:pt idx="16">
                  <c:v>466000</c:v>
                </c:pt>
                <c:pt idx="17">
                  <c:v>473100</c:v>
                </c:pt>
                <c:pt idx="18">
                  <c:v>440900</c:v>
                </c:pt>
                <c:pt idx="19">
                  <c:v>343300</c:v>
                </c:pt>
                <c:pt idx="20">
                  <c:v>307800</c:v>
                </c:pt>
                <c:pt idx="21">
                  <c:v>234600</c:v>
                </c:pt>
                <c:pt idx="22">
                  <c:v>191800</c:v>
                </c:pt>
                <c:pt idx="23">
                  <c:v>171900</c:v>
                </c:pt>
                <c:pt idx="24">
                  <c:v>159700</c:v>
                </c:pt>
                <c:pt idx="25">
                  <c:v>200000</c:v>
                </c:pt>
                <c:pt idx="26">
                  <c:v>132606.66666666418</c:v>
                </c:pt>
                <c:pt idx="27">
                  <c:v>110218.09523809701</c:v>
                </c:pt>
                <c:pt idx="28">
                  <c:v>87829.52380952239</c:v>
                </c:pt>
                <c:pt idx="29">
                  <c:v>65440.952380955219</c:v>
                </c:pt>
                <c:pt idx="30">
                  <c:v>43052.380952380598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58-40C4-968E-43A52006EE30}"/>
            </c:ext>
          </c:extLst>
        </c:ser>
        <c:ser>
          <c:idx val="2"/>
          <c:order val="2"/>
          <c:tx>
            <c:strRef>
              <c:f>Peremszámok!$BL$3</c:f>
              <c:strCache>
                <c:ptCount val="1"/>
                <c:pt idx="0">
                  <c:v>Közmunka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Peremszámok!$BL$5:$BL$35</c:f>
              <c:numCache>
                <c:formatCode>#,##0</c:formatCode>
                <c:ptCount val="31"/>
                <c:pt idx="0">
                  <c:v>556398.92222221941</c:v>
                </c:pt>
                <c:pt idx="1">
                  <c:v>538027.95555555075</c:v>
                </c:pt>
                <c:pt idx="2">
                  <c:v>519656.9888888821</c:v>
                </c:pt>
                <c:pt idx="3">
                  <c:v>501286.0222222209</c:v>
                </c:pt>
                <c:pt idx="4">
                  <c:v>482915.05555555224</c:v>
                </c:pt>
                <c:pt idx="5">
                  <c:v>464544.08888888359</c:v>
                </c:pt>
                <c:pt idx="6">
                  <c:v>446173.12222222239</c:v>
                </c:pt>
                <c:pt idx="7">
                  <c:v>427802.15555555373</c:v>
                </c:pt>
                <c:pt idx="8">
                  <c:v>409431.18888888508</c:v>
                </c:pt>
                <c:pt idx="9">
                  <c:v>391060.22222221643</c:v>
                </c:pt>
                <c:pt idx="10">
                  <c:v>372689.25555555522</c:v>
                </c:pt>
                <c:pt idx="11">
                  <c:v>354318.28888888657</c:v>
                </c:pt>
                <c:pt idx="12">
                  <c:v>335947.32222221792</c:v>
                </c:pt>
                <c:pt idx="13">
                  <c:v>317576.35555554926</c:v>
                </c:pt>
                <c:pt idx="14">
                  <c:v>299205.38888888806</c:v>
                </c:pt>
                <c:pt idx="15">
                  <c:v>280834.42222221941</c:v>
                </c:pt>
                <c:pt idx="16">
                  <c:v>262463.45555555075</c:v>
                </c:pt>
                <c:pt idx="17">
                  <c:v>244092.4888888821</c:v>
                </c:pt>
                <c:pt idx="18">
                  <c:v>225721.5222222209</c:v>
                </c:pt>
                <c:pt idx="19">
                  <c:v>182546.58333333337</c:v>
                </c:pt>
                <c:pt idx="20">
                  <c:v>191906.08333333331</c:v>
                </c:pt>
                <c:pt idx="21">
                  <c:v>202467.75</c:v>
                </c:pt>
                <c:pt idx="22">
                  <c:v>164585.08333333337</c:v>
                </c:pt>
                <c:pt idx="23">
                  <c:v>125908.33333333334</c:v>
                </c:pt>
                <c:pt idx="24">
                  <c:v>101125</c:v>
                </c:pt>
                <c:pt idx="25">
                  <c:v>100000</c:v>
                </c:pt>
                <c:pt idx="26">
                  <c:v>67441.833333335817</c:v>
                </c:pt>
                <c:pt idx="27">
                  <c:v>44520.821428567171</c:v>
                </c:pt>
                <c:pt idx="28">
                  <c:v>21599.809523805976</c:v>
                </c:pt>
                <c:pt idx="29">
                  <c:v>-1321.2023809552193</c:v>
                </c:pt>
                <c:pt idx="30">
                  <c:v>-24242.214285716414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58-40C4-968E-43A52006EE30}"/>
            </c:ext>
          </c:extLst>
        </c:ser>
        <c:ser>
          <c:idx val="3"/>
          <c:order val="3"/>
          <c:tx>
            <c:strRef>
              <c:f>Peremszámok!$BM$3</c:f>
              <c:strCache>
                <c:ptCount val="1"/>
                <c:pt idx="0">
                  <c:v>Külföldön dolgozók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Peremszámok!$BM$5:$BM$35</c:f>
              <c:numCache>
                <c:formatCode>#,##0</c:formatCode>
                <c:ptCount val="31"/>
                <c:pt idx="0">
                  <c:v>30285.832142856903</c:v>
                </c:pt>
                <c:pt idx="1">
                  <c:v>33967.295238095336</c:v>
                </c:pt>
                <c:pt idx="2">
                  <c:v>37648.758333333768</c:v>
                </c:pt>
                <c:pt idx="3">
                  <c:v>41330.221428571269</c:v>
                </c:pt>
                <c:pt idx="4">
                  <c:v>45011.684523809701</c:v>
                </c:pt>
                <c:pt idx="5">
                  <c:v>48693.147619047202</c:v>
                </c:pt>
                <c:pt idx="6">
                  <c:v>52374.610714285634</c:v>
                </c:pt>
                <c:pt idx="7">
                  <c:v>56056.073809524067</c:v>
                </c:pt>
                <c:pt idx="8">
                  <c:v>59737.536904761568</c:v>
                </c:pt>
                <c:pt idx="9">
                  <c:v>63419</c:v>
                </c:pt>
                <c:pt idx="10">
                  <c:v>67100.463095238432</c:v>
                </c:pt>
                <c:pt idx="11">
                  <c:v>70781.926190475933</c:v>
                </c:pt>
                <c:pt idx="12">
                  <c:v>74463.389285714366</c:v>
                </c:pt>
                <c:pt idx="13">
                  <c:v>78144.852380952798</c:v>
                </c:pt>
                <c:pt idx="14">
                  <c:v>81826.315476190299</c:v>
                </c:pt>
                <c:pt idx="15">
                  <c:v>85507.778571428731</c:v>
                </c:pt>
                <c:pt idx="16">
                  <c:v>83822</c:v>
                </c:pt>
                <c:pt idx="17">
                  <c:v>90337.600000000006</c:v>
                </c:pt>
                <c:pt idx="18">
                  <c:v>96853.200000000012</c:v>
                </c:pt>
                <c:pt idx="19">
                  <c:v>103368.80000000002</c:v>
                </c:pt>
                <c:pt idx="20">
                  <c:v>111513.30000000002</c:v>
                </c:pt>
                <c:pt idx="21">
                  <c:v>116400</c:v>
                </c:pt>
                <c:pt idx="22">
                  <c:v>109600</c:v>
                </c:pt>
                <c:pt idx="23">
                  <c:v>104700</c:v>
                </c:pt>
                <c:pt idx="24">
                  <c:v>118640.9464285709</c:v>
                </c:pt>
                <c:pt idx="25">
                  <c:v>200000</c:v>
                </c:pt>
                <c:pt idx="26">
                  <c:v>171234.67500000075</c:v>
                </c:pt>
                <c:pt idx="27">
                  <c:v>183927.71326530725</c:v>
                </c:pt>
                <c:pt idx="28">
                  <c:v>196620.75153061375</c:v>
                </c:pt>
                <c:pt idx="29">
                  <c:v>209313.78979592025</c:v>
                </c:pt>
                <c:pt idx="30">
                  <c:v>222006.82806122676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258-40C4-968E-43A52006EE30}"/>
            </c:ext>
          </c:extLst>
        </c:ser>
        <c:ser>
          <c:idx val="4"/>
          <c:order val="4"/>
          <c:tx>
            <c:strRef>
              <c:f>Peremszámok!$BN$3</c:f>
              <c:strCache>
                <c:ptCount val="1"/>
                <c:pt idx="0">
                  <c:v>Gyes-gyed-stb.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Peremszámok!$BN$5:$BN$35</c:f>
              <c:numCache>
                <c:formatCode>#,##0</c:formatCode>
                <c:ptCount val="31"/>
                <c:pt idx="0">
                  <c:v>285300</c:v>
                </c:pt>
                <c:pt idx="1">
                  <c:v>289200</c:v>
                </c:pt>
                <c:pt idx="2">
                  <c:v>289000</c:v>
                </c:pt>
                <c:pt idx="3">
                  <c:v>295500</c:v>
                </c:pt>
                <c:pt idx="4">
                  <c:v>295300</c:v>
                </c:pt>
                <c:pt idx="5">
                  <c:v>281400</c:v>
                </c:pt>
                <c:pt idx="6">
                  <c:v>286600</c:v>
                </c:pt>
                <c:pt idx="7">
                  <c:v>286800</c:v>
                </c:pt>
                <c:pt idx="8">
                  <c:v>286900</c:v>
                </c:pt>
                <c:pt idx="9">
                  <c:v>282400</c:v>
                </c:pt>
                <c:pt idx="10">
                  <c:v>278600</c:v>
                </c:pt>
                <c:pt idx="11">
                  <c:v>261100.00000000003</c:v>
                </c:pt>
                <c:pt idx="12">
                  <c:v>273900</c:v>
                </c:pt>
                <c:pt idx="13">
                  <c:v>282200</c:v>
                </c:pt>
                <c:pt idx="14">
                  <c:v>282000</c:v>
                </c:pt>
                <c:pt idx="15">
                  <c:v>275900</c:v>
                </c:pt>
                <c:pt idx="16">
                  <c:v>280700</c:v>
                </c:pt>
                <c:pt idx="17">
                  <c:v>263200</c:v>
                </c:pt>
                <c:pt idx="18">
                  <c:v>255400</c:v>
                </c:pt>
                <c:pt idx="19">
                  <c:v>237800</c:v>
                </c:pt>
                <c:pt idx="20">
                  <c:v>240000</c:v>
                </c:pt>
                <c:pt idx="21">
                  <c:v>242400</c:v>
                </c:pt>
                <c:pt idx="22">
                  <c:v>233100</c:v>
                </c:pt>
                <c:pt idx="23">
                  <c:v>232074</c:v>
                </c:pt>
                <c:pt idx="24">
                  <c:v>226200</c:v>
                </c:pt>
                <c:pt idx="25">
                  <c:v>250000</c:v>
                </c:pt>
                <c:pt idx="26">
                  <c:v>237333.06666666665</c:v>
                </c:pt>
                <c:pt idx="27">
                  <c:v>237343.75238095236</c:v>
                </c:pt>
                <c:pt idx="28">
                  <c:v>237354.43809523809</c:v>
                </c:pt>
                <c:pt idx="29">
                  <c:v>237365.12380952379</c:v>
                </c:pt>
                <c:pt idx="30">
                  <c:v>237375.8095238095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258-40C4-968E-43A52006EE30}"/>
            </c:ext>
          </c:extLst>
        </c:ser>
        <c:ser>
          <c:idx val="5"/>
          <c:order val="5"/>
          <c:tx>
            <c:strRef>
              <c:f>Peremszámok!$BO$3</c:f>
              <c:strCache>
                <c:ptCount val="1"/>
                <c:pt idx="0">
                  <c:v>Tanulók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Peremszámok!$BO$5:$BO$35</c:f>
              <c:numCache>
                <c:formatCode>#,##0</c:formatCode>
                <c:ptCount val="31"/>
                <c:pt idx="0">
                  <c:v>723400</c:v>
                </c:pt>
                <c:pt idx="1">
                  <c:v>740000</c:v>
                </c:pt>
                <c:pt idx="2">
                  <c:v>752000</c:v>
                </c:pt>
                <c:pt idx="3">
                  <c:v>697000</c:v>
                </c:pt>
                <c:pt idx="4">
                  <c:v>675600</c:v>
                </c:pt>
                <c:pt idx="5">
                  <c:v>721700</c:v>
                </c:pt>
                <c:pt idx="6">
                  <c:v>717900</c:v>
                </c:pt>
                <c:pt idx="7">
                  <c:v>738300</c:v>
                </c:pt>
                <c:pt idx="8">
                  <c:v>730700</c:v>
                </c:pt>
                <c:pt idx="9">
                  <c:v>739800</c:v>
                </c:pt>
                <c:pt idx="10">
                  <c:v>740800</c:v>
                </c:pt>
                <c:pt idx="11">
                  <c:v>811400</c:v>
                </c:pt>
                <c:pt idx="12">
                  <c:v>822700</c:v>
                </c:pt>
                <c:pt idx="13">
                  <c:v>814300</c:v>
                </c:pt>
                <c:pt idx="14">
                  <c:v>805700</c:v>
                </c:pt>
                <c:pt idx="15">
                  <c:v>805400</c:v>
                </c:pt>
                <c:pt idx="16">
                  <c:v>783800</c:v>
                </c:pt>
                <c:pt idx="17">
                  <c:v>769600</c:v>
                </c:pt>
                <c:pt idx="18">
                  <c:v>737300</c:v>
                </c:pt>
                <c:pt idx="19">
                  <c:v>701200</c:v>
                </c:pt>
                <c:pt idx="20">
                  <c:v>688800</c:v>
                </c:pt>
                <c:pt idx="21">
                  <c:v>656300</c:v>
                </c:pt>
                <c:pt idx="22">
                  <c:v>636500</c:v>
                </c:pt>
                <c:pt idx="23">
                  <c:v>627598</c:v>
                </c:pt>
                <c:pt idx="24">
                  <c:v>618400</c:v>
                </c:pt>
                <c:pt idx="25">
                  <c:v>500000</c:v>
                </c:pt>
                <c:pt idx="26">
                  <c:v>514606.13333333284</c:v>
                </c:pt>
                <c:pt idx="27">
                  <c:v>484131.79047618806</c:v>
                </c:pt>
                <c:pt idx="28">
                  <c:v>453657.44761905074</c:v>
                </c:pt>
                <c:pt idx="29">
                  <c:v>423183.10476190597</c:v>
                </c:pt>
                <c:pt idx="30">
                  <c:v>392708.7619047612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258-40C4-968E-43A52006EE30}"/>
            </c:ext>
          </c:extLst>
        </c:ser>
        <c:ser>
          <c:idx val="6"/>
          <c:order val="6"/>
          <c:tx>
            <c:strRef>
              <c:f>Peremszámok!$BP$3</c:f>
              <c:strCache>
                <c:ptCount val="1"/>
                <c:pt idx="0">
                  <c:v>Egyéb inkatívak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Peremszámok!$BP$5:$BP$35</c:f>
              <c:numCache>
                <c:formatCode>#,##0</c:formatCode>
                <c:ptCount val="31"/>
                <c:pt idx="0">
                  <c:v>9415.2456349236891</c:v>
                </c:pt>
                <c:pt idx="1">
                  <c:v>27404.74920635391</c:v>
                </c:pt>
                <c:pt idx="2">
                  <c:v>42594.252777784131</c:v>
                </c:pt>
                <c:pt idx="3">
                  <c:v>23083.756349207833</c:v>
                </c:pt>
                <c:pt idx="4">
                  <c:v>21873.259920638055</c:v>
                </c:pt>
                <c:pt idx="5">
                  <c:v>58162.763492069207</c:v>
                </c:pt>
                <c:pt idx="6">
                  <c:v>103052.26706349198</c:v>
                </c:pt>
                <c:pt idx="7">
                  <c:v>109141.7706349222</c:v>
                </c:pt>
                <c:pt idx="8">
                  <c:v>125831.27420635335</c:v>
                </c:pt>
                <c:pt idx="9">
                  <c:v>167920.77777778357</c:v>
                </c:pt>
                <c:pt idx="10">
                  <c:v>150510.28134920634</c:v>
                </c:pt>
                <c:pt idx="11">
                  <c:v>99199.784920637496</c:v>
                </c:pt>
                <c:pt idx="12">
                  <c:v>109289.28849206778</c:v>
                </c:pt>
                <c:pt idx="13">
                  <c:v>153278.79206349794</c:v>
                </c:pt>
                <c:pt idx="14">
                  <c:v>197368.29563492164</c:v>
                </c:pt>
                <c:pt idx="15">
                  <c:v>191757.79920635186</c:v>
                </c:pt>
                <c:pt idx="16">
                  <c:v>211614.54444444925</c:v>
                </c:pt>
                <c:pt idx="17">
                  <c:v>149869.91111111789</c:v>
                </c:pt>
                <c:pt idx="18">
                  <c:v>143825.27777777909</c:v>
                </c:pt>
                <c:pt idx="19">
                  <c:v>126584.61666666661</c:v>
                </c:pt>
                <c:pt idx="20">
                  <c:v>64680.616666666669</c:v>
                </c:pt>
                <c:pt idx="21">
                  <c:v>42332.25</c:v>
                </c:pt>
                <c:pt idx="22">
                  <c:v>87814.916666666628</c:v>
                </c:pt>
                <c:pt idx="23">
                  <c:v>137791.66666666666</c:v>
                </c:pt>
                <c:pt idx="24">
                  <c:v>145834.0535714291</c:v>
                </c:pt>
                <c:pt idx="25">
                  <c:v>750000</c:v>
                </c:pt>
                <c:pt idx="26">
                  <c:v>583450.15833333135</c:v>
                </c:pt>
                <c:pt idx="27">
                  <c:v>691652.41768705845</c:v>
                </c:pt>
                <c:pt idx="28">
                  <c:v>799854.67704081535</c:v>
                </c:pt>
                <c:pt idx="29">
                  <c:v>908056.93639454246</c:v>
                </c:pt>
                <c:pt idx="30">
                  <c:v>1016259.1957482994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258-40C4-968E-43A52006EE30}"/>
            </c:ext>
          </c:extLst>
        </c:ser>
        <c:ser>
          <c:idx val="7"/>
          <c:order val="7"/>
          <c:tx>
            <c:strRef>
              <c:f>Peremszámok!$BQ$3</c:f>
              <c:strCache>
                <c:ptCount val="1"/>
                <c:pt idx="0">
                  <c:v>Nem dolgozó nyugdíjasok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Peremszámok!$BQ$5:$BQ$35</c:f>
              <c:numCache>
                <c:formatCode>#,##0</c:formatCode>
                <c:ptCount val="31"/>
                <c:pt idx="0">
                  <c:v>2675800</c:v>
                </c:pt>
                <c:pt idx="1">
                  <c:v>2697300</c:v>
                </c:pt>
                <c:pt idx="2">
                  <c:v>2731900</c:v>
                </c:pt>
                <c:pt idx="3">
                  <c:v>2786400</c:v>
                </c:pt>
                <c:pt idx="4">
                  <c:v>2719900</c:v>
                </c:pt>
                <c:pt idx="5">
                  <c:v>2785900</c:v>
                </c:pt>
                <c:pt idx="6">
                  <c:v>2788100</c:v>
                </c:pt>
                <c:pt idx="7">
                  <c:v>2771000</c:v>
                </c:pt>
                <c:pt idx="8">
                  <c:v>2730600</c:v>
                </c:pt>
                <c:pt idx="9">
                  <c:v>2716600</c:v>
                </c:pt>
                <c:pt idx="10">
                  <c:v>2708000</c:v>
                </c:pt>
                <c:pt idx="11">
                  <c:v>2686300</c:v>
                </c:pt>
                <c:pt idx="12">
                  <c:v>2706100</c:v>
                </c:pt>
                <c:pt idx="13">
                  <c:v>2718300</c:v>
                </c:pt>
                <c:pt idx="14">
                  <c:v>2706000</c:v>
                </c:pt>
                <c:pt idx="15">
                  <c:v>2689900</c:v>
                </c:pt>
                <c:pt idx="16">
                  <c:v>2662700</c:v>
                </c:pt>
                <c:pt idx="17">
                  <c:v>2667300</c:v>
                </c:pt>
                <c:pt idx="18">
                  <c:v>2672100</c:v>
                </c:pt>
                <c:pt idx="19">
                  <c:v>2641300</c:v>
                </c:pt>
                <c:pt idx="20">
                  <c:v>2598100</c:v>
                </c:pt>
                <c:pt idx="21">
                  <c:v>2545700</c:v>
                </c:pt>
                <c:pt idx="22">
                  <c:v>2520800</c:v>
                </c:pt>
                <c:pt idx="23">
                  <c:v>2480147</c:v>
                </c:pt>
                <c:pt idx="24">
                  <c:v>2467700</c:v>
                </c:pt>
                <c:pt idx="25">
                  <c:v>1250000</c:v>
                </c:pt>
                <c:pt idx="26">
                  <c:v>1608892.5333333015</c:v>
                </c:pt>
                <c:pt idx="27">
                  <c:v>1408459.5904762149</c:v>
                </c:pt>
                <c:pt idx="28">
                  <c:v>1208026.6476190686</c:v>
                </c:pt>
                <c:pt idx="29">
                  <c:v>1007593.7047619224</c:v>
                </c:pt>
                <c:pt idx="30">
                  <c:v>807160.7619047761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258-40C4-968E-43A52006EE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59884640"/>
        <c:axId val="1659894624"/>
      </c:areaChart>
      <c:lineChart>
        <c:grouping val="standard"/>
        <c:varyColors val="0"/>
        <c:ser>
          <c:idx val="8"/>
          <c:order val="8"/>
          <c:tx>
            <c:strRef>
              <c:f>Peremszámok!$BT$3</c:f>
              <c:strCache>
                <c:ptCount val="1"/>
                <c:pt idx="0">
                  <c:v>Egy főre jutó kibocsátás folyó2015 évi áron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Peremszámok!$BT$5:$BT$35</c:f>
              <c:numCache>
                <c:formatCode>#\ ##0.0</c:formatCode>
                <c:ptCount val="31"/>
                <c:pt idx="0">
                  <c:v>8.9964240409840137</c:v>
                </c:pt>
                <c:pt idx="1">
                  <c:v>9.3161956870623008</c:v>
                </c:pt>
                <c:pt idx="2">
                  <c:v>9.8761698805207025</c:v>
                </c:pt>
                <c:pt idx="3">
                  <c:v>10.435371062486144</c:v>
                </c:pt>
                <c:pt idx="4">
                  <c:v>10.63831969376356</c:v>
                </c:pt>
                <c:pt idx="5">
                  <c:v>11.294642830380933</c:v>
                </c:pt>
                <c:pt idx="6">
                  <c:v>12.19578935700517</c:v>
                </c:pt>
                <c:pt idx="7">
                  <c:v>13.128926603719714</c:v>
                </c:pt>
                <c:pt idx="8">
                  <c:v>13.683544548721606</c:v>
                </c:pt>
                <c:pt idx="9">
                  <c:v>14.625583686957485</c:v>
                </c:pt>
                <c:pt idx="10">
                  <c:v>15.457262106040119</c:v>
                </c:pt>
                <c:pt idx="11">
                  <c:v>16.079001345942313</c:v>
                </c:pt>
                <c:pt idx="12">
                  <c:v>16.204805448567768</c:v>
                </c:pt>
                <c:pt idx="13">
                  <c:v>16.911235954818245</c:v>
                </c:pt>
                <c:pt idx="14">
                  <c:v>15.793583432378025</c:v>
                </c:pt>
                <c:pt idx="15">
                  <c:v>16.226432877492471</c:v>
                </c:pt>
                <c:pt idx="16">
                  <c:v>16.473143398417463</c:v>
                </c:pt>
                <c:pt idx="17">
                  <c:v>15.612850422414397</c:v>
                </c:pt>
                <c:pt idx="18">
                  <c:v>15.964894043111249</c:v>
                </c:pt>
                <c:pt idx="19">
                  <c:v>16.11048917206956</c:v>
                </c:pt>
                <c:pt idx="20">
                  <c:v>16.431835173969837</c:v>
                </c:pt>
                <c:pt idx="21">
                  <c:v>16.28449466862763</c:v>
                </c:pt>
                <c:pt idx="22">
                  <c:v>16.775898636166684</c:v>
                </c:pt>
                <c:pt idx="23">
                  <c:v>17.617389407418479</c:v>
                </c:pt>
                <c:pt idx="24">
                  <c:v>18.391746373537856</c:v>
                </c:pt>
                <c:pt idx="25">
                  <c:v>16.214225245607331</c:v>
                </c:pt>
                <c:pt idx="26">
                  <c:v>17.560117875304968</c:v>
                </c:pt>
                <c:pt idx="27">
                  <c:v>17.733694910852648</c:v>
                </c:pt>
                <c:pt idx="28">
                  <c:v>17.907271946400385</c:v>
                </c:pt>
                <c:pt idx="29">
                  <c:v>18.080848981948066</c:v>
                </c:pt>
                <c:pt idx="30">
                  <c:v>18.254426017495803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258-40C4-968E-43A52006EE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43472928"/>
        <c:axId val="1643471264"/>
      </c:lineChart>
      <c:catAx>
        <c:axId val="16598846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659894624"/>
        <c:crosses val="autoZero"/>
        <c:auto val="1"/>
        <c:lblAlgn val="ctr"/>
        <c:lblOffset val="100"/>
        <c:noMultiLvlLbl val="0"/>
      </c:catAx>
      <c:valAx>
        <c:axId val="1659894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659884640"/>
        <c:crosses val="autoZero"/>
        <c:crossBetween val="between"/>
      </c:valAx>
      <c:valAx>
        <c:axId val="1643471264"/>
        <c:scaling>
          <c:orientation val="minMax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643472928"/>
        <c:crosses val="max"/>
        <c:crossBetween val="between"/>
      </c:valAx>
      <c:catAx>
        <c:axId val="16434729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4347126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Peremszámok!$BU$38</c:f>
          <c:strCache>
            <c:ptCount val="1"/>
            <c:pt idx="0">
              <c:v>Tőkeállomány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Peremszámok!$BU$2</c:f>
              <c:strCache>
                <c:ptCount val="1"/>
                <c:pt idx="0">
                  <c:v>Tárgyi eszközök állománya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Peremszámok!$BZ$5:$BZ$35</c:f>
              <c:numCache>
                <c:formatCode>#,##0</c:formatCode>
                <c:ptCount val="31"/>
                <c:pt idx="0">
                  <c:v>101411.33572812847</c:v>
                </c:pt>
                <c:pt idx="1">
                  <c:v>102349.58795984532</c:v>
                </c:pt>
                <c:pt idx="2">
                  <c:v>103977.59488774634</c:v>
                </c:pt>
                <c:pt idx="3">
                  <c:v>105582.4501327029</c:v>
                </c:pt>
                <c:pt idx="4">
                  <c:v>107791.82849264979</c:v>
                </c:pt>
                <c:pt idx="5">
                  <c:v>109113.84744483526</c:v>
                </c:pt>
                <c:pt idx="6">
                  <c:v>111069.23637041054</c:v>
                </c:pt>
                <c:pt idx="7">
                  <c:v>113232.2489443978</c:v>
                </c:pt>
                <c:pt idx="8">
                  <c:v>114964.70768388936</c:v>
                </c:pt>
                <c:pt idx="9">
                  <c:v>117200.2238756264</c:v>
                </c:pt>
                <c:pt idx="10">
                  <c:v>119424.39877521533</c:v>
                </c:pt>
                <c:pt idx="11">
                  <c:v>121629.17399441924</c:v>
                </c:pt>
                <c:pt idx="12">
                  <c:v>123813.39914218515</c:v>
                </c:pt>
                <c:pt idx="13">
                  <c:v>126187.80499114595</c:v>
                </c:pt>
                <c:pt idx="14">
                  <c:v>127464.59254929835</c:v>
                </c:pt>
                <c:pt idx="15">
                  <c:v>127931.37517402002</c:v>
                </c:pt>
                <c:pt idx="16">
                  <c:v>128233.94538663584</c:v>
                </c:pt>
                <c:pt idx="17">
                  <c:v>126917.22738494385</c:v>
                </c:pt>
                <c:pt idx="18">
                  <c:v>128811.32398980432</c:v>
                </c:pt>
                <c:pt idx="19">
                  <c:v>130011.68859553536</c:v>
                </c:pt>
                <c:pt idx="20">
                  <c:v>131473</c:v>
                </c:pt>
                <c:pt idx="21">
                  <c:v>132195</c:v>
                </c:pt>
                <c:pt idx="22">
                  <c:v>134059.16602780519</c:v>
                </c:pt>
                <c:pt idx="23">
                  <c:v>136910.34301876329</c:v>
                </c:pt>
                <c:pt idx="24">
                  <c:v>139214.01312446408</c:v>
                </c:pt>
                <c:pt idx="25">
                  <c:v>140745.28250592109</c:v>
                </c:pt>
                <c:pt idx="26">
                  <c:v>142276.5518873781</c:v>
                </c:pt>
                <c:pt idx="27">
                  <c:v>143807.82126883511</c:v>
                </c:pt>
                <c:pt idx="28">
                  <c:v>145339.09065029258</c:v>
                </c:pt>
                <c:pt idx="29">
                  <c:v>146870.36003174959</c:v>
                </c:pt>
                <c:pt idx="30">
                  <c:v>148401.6294132066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C5F-46FA-8606-1604DFB0484E}"/>
            </c:ext>
          </c:extLst>
        </c:ser>
        <c:ser>
          <c:idx val="1"/>
          <c:order val="1"/>
          <c:tx>
            <c:strRef>
              <c:f>Peremszámok!$CG$2</c:f>
              <c:strCache>
                <c:ptCount val="1"/>
                <c:pt idx="0">
                  <c:v>Tangible eszközök állománya összesen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Peremszámok!$CL$5:$CL$35</c:f>
              <c:numCache>
                <c:formatCode>#,##0</c:formatCode>
                <c:ptCount val="31"/>
                <c:pt idx="0">
                  <c:v>103550.20364667471</c:v>
                </c:pt>
                <c:pt idx="1">
                  <c:v>105316.66992053643</c:v>
                </c:pt>
                <c:pt idx="2">
                  <c:v>107813.15668705941</c:v>
                </c:pt>
                <c:pt idx="3">
                  <c:v>110311.17304624495</c:v>
                </c:pt>
                <c:pt idx="4">
                  <c:v>113470.91466954388</c:v>
                </c:pt>
                <c:pt idx="5">
                  <c:v>115724.43908076266</c:v>
                </c:pt>
                <c:pt idx="6">
                  <c:v>118934.98162831354</c:v>
                </c:pt>
                <c:pt idx="7">
                  <c:v>122409.99930780633</c:v>
                </c:pt>
                <c:pt idx="8">
                  <c:v>125459.43214469332</c:v>
                </c:pt>
                <c:pt idx="9">
                  <c:v>129098.45321934513</c:v>
                </c:pt>
                <c:pt idx="10">
                  <c:v>132770.62231073016</c:v>
                </c:pt>
                <c:pt idx="11">
                  <c:v>136454.73786914599</c:v>
                </c:pt>
                <c:pt idx="12">
                  <c:v>140160.28947311547</c:v>
                </c:pt>
                <c:pt idx="13">
                  <c:v>144127.34157052188</c:v>
                </c:pt>
                <c:pt idx="14">
                  <c:v>146877.74395914629</c:v>
                </c:pt>
                <c:pt idx="15">
                  <c:v>148712.45024649307</c:v>
                </c:pt>
                <c:pt idx="16">
                  <c:v>149829.18500760768</c:v>
                </c:pt>
                <c:pt idx="17">
                  <c:v>149047.88511606597</c:v>
                </c:pt>
                <c:pt idx="18">
                  <c:v>152040.71663658167</c:v>
                </c:pt>
                <c:pt idx="19">
                  <c:v>154233.17177630312</c:v>
                </c:pt>
                <c:pt idx="20">
                  <c:v>158156.19901395898</c:v>
                </c:pt>
                <c:pt idx="21">
                  <c:v>160244.3354836097</c:v>
                </c:pt>
                <c:pt idx="22">
                  <c:v>163740.84390765807</c:v>
                </c:pt>
                <c:pt idx="23">
                  <c:v>168486.39745960929</c:v>
                </c:pt>
                <c:pt idx="24">
                  <c:v>172605.72842819928</c:v>
                </c:pt>
                <c:pt idx="25">
                  <c:v>175802.77183171123</c:v>
                </c:pt>
                <c:pt idx="26">
                  <c:v>179028.06955437071</c:v>
                </c:pt>
                <c:pt idx="27">
                  <c:v>182281.62159617778</c:v>
                </c:pt>
                <c:pt idx="28">
                  <c:v>185563.42795713295</c:v>
                </c:pt>
                <c:pt idx="29">
                  <c:v>188873.48863723507</c:v>
                </c:pt>
                <c:pt idx="30">
                  <c:v>192211.80363648423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C5F-46FA-8606-1604DFB0484E}"/>
            </c:ext>
          </c:extLst>
        </c:ser>
        <c:ser>
          <c:idx val="2"/>
          <c:order val="2"/>
          <c:tx>
            <c:strRef>
              <c:f>Peremszámok!$CM$2</c:f>
              <c:strCache>
                <c:ptCount val="1"/>
                <c:pt idx="0">
                  <c:v>Tudás eszközök állománya összesen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Peremszámok!$CR$5:$CR$35</c:f>
              <c:numCache>
                <c:formatCode>#,##0</c:formatCode>
                <c:ptCount val="31"/>
                <c:pt idx="0">
                  <c:v>156810.85693339258</c:v>
                </c:pt>
                <c:pt idx="1">
                  <c:v>159999.18176650009</c:v>
                </c:pt>
                <c:pt idx="2">
                  <c:v>163187.50659960759</c:v>
                </c:pt>
                <c:pt idx="3">
                  <c:v>166375.83143271509</c:v>
                </c:pt>
                <c:pt idx="4">
                  <c:v>169564.15626582259</c:v>
                </c:pt>
                <c:pt idx="5">
                  <c:v>172752.48109893003</c:v>
                </c:pt>
                <c:pt idx="6">
                  <c:v>180536.37608318482</c:v>
                </c:pt>
                <c:pt idx="7">
                  <c:v>188320.27106743961</c:v>
                </c:pt>
                <c:pt idx="8">
                  <c:v>196104.1660516944</c:v>
                </c:pt>
                <c:pt idx="9">
                  <c:v>203888.06103594918</c:v>
                </c:pt>
                <c:pt idx="10">
                  <c:v>211671.956020204</c:v>
                </c:pt>
                <c:pt idx="11">
                  <c:v>211251.29808122362</c:v>
                </c:pt>
                <c:pt idx="12">
                  <c:v>210830.64014224324</c:v>
                </c:pt>
                <c:pt idx="13">
                  <c:v>210409.98220326286</c:v>
                </c:pt>
                <c:pt idx="14">
                  <c:v>209989.32426428248</c:v>
                </c:pt>
                <c:pt idx="15">
                  <c:v>209568.6663253021</c:v>
                </c:pt>
                <c:pt idx="16">
                  <c:v>217493.45419208438</c:v>
                </c:pt>
                <c:pt idx="17">
                  <c:v>225418.24205886666</c:v>
                </c:pt>
                <c:pt idx="18">
                  <c:v>233343.02992564894</c:v>
                </c:pt>
                <c:pt idx="19">
                  <c:v>241267.81779243119</c:v>
                </c:pt>
                <c:pt idx="20">
                  <c:v>241146.46534507535</c:v>
                </c:pt>
                <c:pt idx="21">
                  <c:v>245356.68442869745</c:v>
                </c:pt>
                <c:pt idx="22">
                  <c:v>249566.90351231955</c:v>
                </c:pt>
                <c:pt idx="23">
                  <c:v>253777.12259594165</c:v>
                </c:pt>
                <c:pt idx="24">
                  <c:v>257987.34167956375</c:v>
                </c:pt>
                <c:pt idx="25">
                  <c:v>262197.56076318584</c:v>
                </c:pt>
                <c:pt idx="26">
                  <c:v>266407.7798468098</c:v>
                </c:pt>
                <c:pt idx="27">
                  <c:v>270617.9989304319</c:v>
                </c:pt>
                <c:pt idx="28">
                  <c:v>274828.218014054</c:v>
                </c:pt>
                <c:pt idx="29">
                  <c:v>279038.4370976761</c:v>
                </c:pt>
                <c:pt idx="30">
                  <c:v>283248.6561812982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C5F-46FA-8606-1604DFB0484E}"/>
            </c:ext>
          </c:extLst>
        </c:ser>
        <c:ser>
          <c:idx val="3"/>
          <c:order val="3"/>
          <c:tx>
            <c:strRef>
              <c:f>Peremszámok!$CS$2</c:f>
              <c:strCache>
                <c:ptCount val="1"/>
                <c:pt idx="0">
                  <c:v>Eszközök állománya összesen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Peremszámok!$CX$5:$CX$35</c:f>
              <c:numCache>
                <c:formatCode>#,##0</c:formatCode>
                <c:ptCount val="31"/>
                <c:pt idx="0">
                  <c:v>260361.06058006728</c:v>
                </c:pt>
                <c:pt idx="1">
                  <c:v>265315.85168703651</c:v>
                </c:pt>
                <c:pt idx="2">
                  <c:v>271000.66328666697</c:v>
                </c:pt>
                <c:pt idx="3">
                  <c:v>276687.00447896007</c:v>
                </c:pt>
                <c:pt idx="4">
                  <c:v>283035.07093536644</c:v>
                </c:pt>
                <c:pt idx="5">
                  <c:v>288476.92017969268</c:v>
                </c:pt>
                <c:pt idx="6">
                  <c:v>299471.35771149839</c:v>
                </c:pt>
                <c:pt idx="7">
                  <c:v>310730.27037524595</c:v>
                </c:pt>
                <c:pt idx="8">
                  <c:v>321563.5981963877</c:v>
                </c:pt>
                <c:pt idx="9">
                  <c:v>332986.51425529434</c:v>
                </c:pt>
                <c:pt idx="10">
                  <c:v>344442.57833093416</c:v>
                </c:pt>
                <c:pt idx="11">
                  <c:v>347706.03595036961</c:v>
                </c:pt>
                <c:pt idx="12">
                  <c:v>350990.92961535871</c:v>
                </c:pt>
                <c:pt idx="13">
                  <c:v>354537.32377378474</c:v>
                </c:pt>
                <c:pt idx="14">
                  <c:v>356867.0682234288</c:v>
                </c:pt>
                <c:pt idx="15">
                  <c:v>358281.1165717952</c:v>
                </c:pt>
                <c:pt idx="16">
                  <c:v>367322.63919969206</c:v>
                </c:pt>
                <c:pt idx="17">
                  <c:v>374466.12717493263</c:v>
                </c:pt>
                <c:pt idx="18">
                  <c:v>385383.74656223063</c:v>
                </c:pt>
                <c:pt idx="19">
                  <c:v>395500.98956873431</c:v>
                </c:pt>
                <c:pt idx="20">
                  <c:v>399302.66435903433</c:v>
                </c:pt>
                <c:pt idx="21">
                  <c:v>405601.01991230715</c:v>
                </c:pt>
                <c:pt idx="22">
                  <c:v>413307.74741997762</c:v>
                </c:pt>
                <c:pt idx="23">
                  <c:v>422263.52005555097</c:v>
                </c:pt>
                <c:pt idx="24">
                  <c:v>430593.07010776305</c:v>
                </c:pt>
                <c:pt idx="25">
                  <c:v>438000.33259489707</c:v>
                </c:pt>
                <c:pt idx="26">
                  <c:v>445435.84940118052</c:v>
                </c:pt>
                <c:pt idx="27">
                  <c:v>452899.62052660971</c:v>
                </c:pt>
                <c:pt idx="28">
                  <c:v>460391.64597118692</c:v>
                </c:pt>
                <c:pt idx="29">
                  <c:v>467911.92573491117</c:v>
                </c:pt>
                <c:pt idx="30">
                  <c:v>475460.45981778239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C5F-46FA-8606-1604DFB0484E}"/>
            </c:ext>
          </c:extLst>
        </c:ser>
        <c:ser>
          <c:idx val="4"/>
          <c:order val="4"/>
          <c:tx>
            <c:strRef>
              <c:f>Peremszámok!$C$2</c:f>
              <c:strCache>
                <c:ptCount val="1"/>
                <c:pt idx="0">
                  <c:v>Kibocsátás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val>
            <c:numRef>
              <c:f>Peremszámok!$I$5:$I$35</c:f>
              <c:numCache>
                <c:formatCode>#,##0</c:formatCode>
                <c:ptCount val="31"/>
                <c:pt idx="0">
                  <c:v>33096.044761971993</c:v>
                </c:pt>
                <c:pt idx="1">
                  <c:v>33987.345105540684</c:v>
                </c:pt>
                <c:pt idx="2">
                  <c:v>36012.465852330693</c:v>
                </c:pt>
                <c:pt idx="3">
                  <c:v>38587.915114861265</c:v>
                </c:pt>
                <c:pt idx="4">
                  <c:v>40546.891680810426</c:v>
                </c:pt>
                <c:pt idx="5">
                  <c:v>43780.294539122573</c:v>
                </c:pt>
                <c:pt idx="6">
                  <c:v>47359.908810058179</c:v>
                </c:pt>
                <c:pt idx="7">
                  <c:v>50988.812250866256</c:v>
                </c:pt>
                <c:pt idx="8">
                  <c:v>53665.493365631264</c:v>
                </c:pt>
                <c:pt idx="9">
                  <c:v>57045.626612608976</c:v>
                </c:pt>
                <c:pt idx="10">
                  <c:v>60306.508106715526</c:v>
                </c:pt>
                <c:pt idx="11">
                  <c:v>63164.748887399779</c:v>
                </c:pt>
                <c:pt idx="12">
                  <c:v>63231.150860311434</c:v>
                </c:pt>
                <c:pt idx="13">
                  <c:v>65079.509324927058</c:v>
                </c:pt>
                <c:pt idx="14">
                  <c:v>59191.191987866361</c:v>
                </c:pt>
                <c:pt idx="15">
                  <c:v>60594.368294420135</c:v>
                </c:pt>
                <c:pt idx="16">
                  <c:v>61922.546034651241</c:v>
                </c:pt>
                <c:pt idx="17">
                  <c:v>59753.501136664374</c:v>
                </c:pt>
                <c:pt idx="18">
                  <c:v>62146.543041619159</c:v>
                </c:pt>
                <c:pt idx="19">
                  <c:v>66064.282947905638</c:v>
                </c:pt>
                <c:pt idx="20">
                  <c:v>69186.241999999998</c:v>
                </c:pt>
                <c:pt idx="21">
                  <c:v>70863.607000000004</c:v>
                </c:pt>
                <c:pt idx="22">
                  <c:v>74171.280640083758</c:v>
                </c:pt>
                <c:pt idx="23">
                  <c:v>78740.921956456878</c:v>
                </c:pt>
                <c:pt idx="24">
                  <c:v>82985.398812040163</c:v>
                </c:pt>
                <c:pt idx="25">
                  <c:v>82663.201004902847</c:v>
                </c:pt>
                <c:pt idx="26">
                  <c:v>87929.597709182621</c:v>
                </c:pt>
                <c:pt idx="27">
                  <c:v>91316.005424437302</c:v>
                </c:pt>
                <c:pt idx="28">
                  <c:v>94751.690668215873</c:v>
                </c:pt>
                <c:pt idx="29">
                  <c:v>98236.653440517883</c:v>
                </c:pt>
                <c:pt idx="30">
                  <c:v>101770.89374134304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C5F-46FA-8606-1604DFB048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43951808"/>
        <c:axId val="1843950976"/>
      </c:lineChart>
      <c:catAx>
        <c:axId val="1843951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843950976"/>
        <c:crosses val="autoZero"/>
        <c:auto val="1"/>
        <c:lblAlgn val="ctr"/>
        <c:lblOffset val="100"/>
        <c:noMultiLvlLbl val="0"/>
      </c:catAx>
      <c:valAx>
        <c:axId val="1843950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8439518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Peremszámok!$BU$38</c:f>
          <c:strCache>
            <c:ptCount val="1"/>
            <c:pt idx="0">
              <c:v>Tőkeállomány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Peremszámok!$BU$2</c:f>
              <c:strCache>
                <c:ptCount val="1"/>
                <c:pt idx="0">
                  <c:v>Tárgyi eszközök állománya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Peremszámok!$BZ$5:$BZ$35</c:f>
              <c:numCache>
                <c:formatCode>#,##0</c:formatCode>
                <c:ptCount val="31"/>
                <c:pt idx="0">
                  <c:v>101411.33572812847</c:v>
                </c:pt>
                <c:pt idx="1">
                  <c:v>102349.58795984532</c:v>
                </c:pt>
                <c:pt idx="2">
                  <c:v>103977.59488774634</c:v>
                </c:pt>
                <c:pt idx="3">
                  <c:v>105582.4501327029</c:v>
                </c:pt>
                <c:pt idx="4">
                  <c:v>107791.82849264979</c:v>
                </c:pt>
                <c:pt idx="5">
                  <c:v>109113.84744483526</c:v>
                </c:pt>
                <c:pt idx="6">
                  <c:v>111069.23637041054</c:v>
                </c:pt>
                <c:pt idx="7">
                  <c:v>113232.2489443978</c:v>
                </c:pt>
                <c:pt idx="8">
                  <c:v>114964.70768388936</c:v>
                </c:pt>
                <c:pt idx="9">
                  <c:v>117200.2238756264</c:v>
                </c:pt>
                <c:pt idx="10">
                  <c:v>119424.39877521533</c:v>
                </c:pt>
                <c:pt idx="11">
                  <c:v>121629.17399441924</c:v>
                </c:pt>
                <c:pt idx="12">
                  <c:v>123813.39914218515</c:v>
                </c:pt>
                <c:pt idx="13">
                  <c:v>126187.80499114595</c:v>
                </c:pt>
                <c:pt idx="14">
                  <c:v>127464.59254929835</c:v>
                </c:pt>
                <c:pt idx="15">
                  <c:v>127931.37517402002</c:v>
                </c:pt>
                <c:pt idx="16">
                  <c:v>128233.94538663584</c:v>
                </c:pt>
                <c:pt idx="17">
                  <c:v>126917.22738494385</c:v>
                </c:pt>
                <c:pt idx="18">
                  <c:v>128811.32398980432</c:v>
                </c:pt>
                <c:pt idx="19">
                  <c:v>130011.68859553536</c:v>
                </c:pt>
                <c:pt idx="20">
                  <c:v>131473</c:v>
                </c:pt>
                <c:pt idx="21">
                  <c:v>132195</c:v>
                </c:pt>
                <c:pt idx="22">
                  <c:v>134059.16602780519</c:v>
                </c:pt>
                <c:pt idx="23">
                  <c:v>136910.34301876329</c:v>
                </c:pt>
                <c:pt idx="24">
                  <c:v>139214.01312446408</c:v>
                </c:pt>
                <c:pt idx="25">
                  <c:v>140745.28250592109</c:v>
                </c:pt>
                <c:pt idx="26">
                  <c:v>142276.5518873781</c:v>
                </c:pt>
                <c:pt idx="27">
                  <c:v>143807.82126883511</c:v>
                </c:pt>
                <c:pt idx="28">
                  <c:v>145339.09065029258</c:v>
                </c:pt>
                <c:pt idx="29">
                  <c:v>146870.36003174959</c:v>
                </c:pt>
                <c:pt idx="30">
                  <c:v>148401.6294132066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96-4A71-8FE5-68100B821554}"/>
            </c:ext>
          </c:extLst>
        </c:ser>
        <c:ser>
          <c:idx val="1"/>
          <c:order val="1"/>
          <c:tx>
            <c:strRef>
              <c:f>Peremszámok!$CA$2</c:f>
              <c:strCache>
                <c:ptCount val="1"/>
                <c:pt idx="0">
                  <c:v>Egyéb tangible eszközök álománya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Peremszámok!$CF$5:$CF$35</c:f>
              <c:numCache>
                <c:formatCode>#,##0</c:formatCode>
                <c:ptCount val="31"/>
                <c:pt idx="0">
                  <c:v>2138.8679185462388</c:v>
                </c:pt>
                <c:pt idx="1">
                  <c:v>2967.08196069111</c:v>
                </c:pt>
                <c:pt idx="2">
                  <c:v>3835.5617993130727</c:v>
                </c:pt>
                <c:pt idx="3">
                  <c:v>4728.7229135420494</c:v>
                </c:pt>
                <c:pt idx="4">
                  <c:v>5679.0861768940958</c:v>
                </c:pt>
                <c:pt idx="5">
                  <c:v>6610.5916359273979</c:v>
                </c:pt>
                <c:pt idx="6">
                  <c:v>7865.7452579030069</c:v>
                </c:pt>
                <c:pt idx="7">
                  <c:v>9177.7503634085297</c:v>
                </c:pt>
                <c:pt idx="8">
                  <c:v>10494.724460803962</c:v>
                </c:pt>
                <c:pt idx="9">
                  <c:v>11898.229343718733</c:v>
                </c:pt>
                <c:pt idx="10">
                  <c:v>13346.22353551483</c:v>
                </c:pt>
                <c:pt idx="11">
                  <c:v>14825.563874726751</c:v>
                </c:pt>
                <c:pt idx="12">
                  <c:v>16346.890330930313</c:v>
                </c:pt>
                <c:pt idx="13">
                  <c:v>17939.536579375927</c:v>
                </c:pt>
                <c:pt idx="14">
                  <c:v>19413.151409847938</c:v>
                </c:pt>
                <c:pt idx="15">
                  <c:v>20781.075072473046</c:v>
                </c:pt>
                <c:pt idx="16">
                  <c:v>21595.239620971843</c:v>
                </c:pt>
                <c:pt idx="17">
                  <c:v>22130.657731122119</c:v>
                </c:pt>
                <c:pt idx="18">
                  <c:v>23229.392646777342</c:v>
                </c:pt>
                <c:pt idx="19">
                  <c:v>24221.483180767755</c:v>
                </c:pt>
                <c:pt idx="20">
                  <c:v>26683.199013958976</c:v>
                </c:pt>
                <c:pt idx="21">
                  <c:v>28049.335483609699</c:v>
                </c:pt>
                <c:pt idx="22">
                  <c:v>29681.677879852883</c:v>
                </c:pt>
                <c:pt idx="23">
                  <c:v>31576.054440845997</c:v>
                </c:pt>
                <c:pt idx="24">
                  <c:v>33391.715303735196</c:v>
                </c:pt>
                <c:pt idx="25">
                  <c:v>35057.489325790142</c:v>
                </c:pt>
                <c:pt idx="26">
                  <c:v>36751.517666992615</c:v>
                </c:pt>
                <c:pt idx="27">
                  <c:v>38473.800327342673</c:v>
                </c:pt>
                <c:pt idx="28">
                  <c:v>40224.337306840374</c:v>
                </c:pt>
                <c:pt idx="29">
                  <c:v>42003.128605485486</c:v>
                </c:pt>
                <c:pt idx="30">
                  <c:v>43810.174223277631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96-4A71-8FE5-68100B821554}"/>
            </c:ext>
          </c:extLst>
        </c:ser>
        <c:ser>
          <c:idx val="2"/>
          <c:order val="2"/>
          <c:tx>
            <c:strRef>
              <c:f>Peremszámok!$CM$2</c:f>
              <c:strCache>
                <c:ptCount val="1"/>
                <c:pt idx="0">
                  <c:v>Tudás eszközök állománya összesen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Peremszámok!$CR$5:$CR$35</c:f>
              <c:numCache>
                <c:formatCode>#,##0</c:formatCode>
                <c:ptCount val="31"/>
                <c:pt idx="0">
                  <c:v>156810.85693339258</c:v>
                </c:pt>
                <c:pt idx="1">
                  <c:v>159999.18176650009</c:v>
                </c:pt>
                <c:pt idx="2">
                  <c:v>163187.50659960759</c:v>
                </c:pt>
                <c:pt idx="3">
                  <c:v>166375.83143271509</c:v>
                </c:pt>
                <c:pt idx="4">
                  <c:v>169564.15626582259</c:v>
                </c:pt>
                <c:pt idx="5">
                  <c:v>172752.48109893003</c:v>
                </c:pt>
                <c:pt idx="6">
                  <c:v>180536.37608318482</c:v>
                </c:pt>
                <c:pt idx="7">
                  <c:v>188320.27106743961</c:v>
                </c:pt>
                <c:pt idx="8">
                  <c:v>196104.1660516944</c:v>
                </c:pt>
                <c:pt idx="9">
                  <c:v>203888.06103594918</c:v>
                </c:pt>
                <c:pt idx="10">
                  <c:v>211671.956020204</c:v>
                </c:pt>
                <c:pt idx="11">
                  <c:v>211251.29808122362</c:v>
                </c:pt>
                <c:pt idx="12">
                  <c:v>210830.64014224324</c:v>
                </c:pt>
                <c:pt idx="13">
                  <c:v>210409.98220326286</c:v>
                </c:pt>
                <c:pt idx="14">
                  <c:v>209989.32426428248</c:v>
                </c:pt>
                <c:pt idx="15">
                  <c:v>209568.6663253021</c:v>
                </c:pt>
                <c:pt idx="16">
                  <c:v>217493.45419208438</c:v>
                </c:pt>
                <c:pt idx="17">
                  <c:v>225418.24205886666</c:v>
                </c:pt>
                <c:pt idx="18">
                  <c:v>233343.02992564894</c:v>
                </c:pt>
                <c:pt idx="19">
                  <c:v>241267.81779243119</c:v>
                </c:pt>
                <c:pt idx="20">
                  <c:v>241146.46534507535</c:v>
                </c:pt>
                <c:pt idx="21">
                  <c:v>245356.68442869745</c:v>
                </c:pt>
                <c:pt idx="22">
                  <c:v>249566.90351231955</c:v>
                </c:pt>
                <c:pt idx="23">
                  <c:v>253777.12259594165</c:v>
                </c:pt>
                <c:pt idx="24">
                  <c:v>257987.34167956375</c:v>
                </c:pt>
                <c:pt idx="25">
                  <c:v>262197.56076318584</c:v>
                </c:pt>
                <c:pt idx="26">
                  <c:v>266407.7798468098</c:v>
                </c:pt>
                <c:pt idx="27">
                  <c:v>270617.9989304319</c:v>
                </c:pt>
                <c:pt idx="28">
                  <c:v>274828.218014054</c:v>
                </c:pt>
                <c:pt idx="29">
                  <c:v>279038.4370976761</c:v>
                </c:pt>
                <c:pt idx="30">
                  <c:v>283248.6561812982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96-4A71-8FE5-68100B8215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48859248"/>
        <c:axId val="1848857584"/>
      </c:areaChart>
      <c:catAx>
        <c:axId val="1848859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848857584"/>
        <c:crosses val="autoZero"/>
        <c:auto val="1"/>
        <c:lblAlgn val="ctr"/>
        <c:lblOffset val="100"/>
        <c:noMultiLvlLbl val="0"/>
      </c:catAx>
      <c:valAx>
        <c:axId val="1848857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8488592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'Bazis modell FES adatai'!$D$67</c:f>
          <c:strCache>
            <c:ptCount val="1"/>
            <c:pt idx="0">
              <c:v>Upstream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'Bazis modell FES adatai'!$C$68</c:f>
              <c:strCache>
                <c:ptCount val="1"/>
                <c:pt idx="0">
                  <c:v>Fegyveresek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adatai'!$D$68:$S$68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9.9519145518636885E-6</c:v>
                </c:pt>
                <c:pt idx="2">
                  <c:v>4.8904703534170599E-6</c:v>
                </c:pt>
                <c:pt idx="3">
                  <c:v>1.0449001280685069E-5</c:v>
                </c:pt>
                <c:pt idx="4">
                  <c:v>1.5830668089002268E-5</c:v>
                </c:pt>
                <c:pt idx="5">
                  <c:v>2.0594125348499527E-6</c:v>
                </c:pt>
                <c:pt idx="6">
                  <c:v>1.1837159577136348E-5</c:v>
                </c:pt>
                <c:pt idx="7">
                  <c:v>2.0477708198741188E-6</c:v>
                </c:pt>
                <c:pt idx="8">
                  <c:v>0</c:v>
                </c:pt>
                <c:pt idx="9">
                  <c:v>2.1252453546627588E-6</c:v>
                </c:pt>
                <c:pt idx="10">
                  <c:v>1.012344399953756E-6</c:v>
                </c:pt>
                <c:pt idx="11">
                  <c:v>-1.0055655475524686E-7</c:v>
                </c:pt>
                <c:pt idx="12">
                  <c:v>-1.2134575094642497E-6</c:v>
                </c:pt>
                <c:pt idx="13">
                  <c:v>-2.3263584641732525E-6</c:v>
                </c:pt>
                <c:pt idx="14">
                  <c:v>-3.4392594188822553E-6</c:v>
                </c:pt>
                <c:pt idx="15">
                  <c:v>-4.5521603735912582E-6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32-4135-A155-FFA749BEDE13}"/>
            </c:ext>
          </c:extLst>
        </c:ser>
        <c:ser>
          <c:idx val="1"/>
          <c:order val="1"/>
          <c:tx>
            <c:strRef>
              <c:f>'Bazis modell FES adatai'!$C$69</c:f>
              <c:strCache>
                <c:ptCount val="1"/>
                <c:pt idx="0">
                  <c:v>Vezetők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adatai'!$D$69:$S$69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3.3168582903528765E-3</c:v>
                </c:pt>
                <c:pt idx="2">
                  <c:v>3.2260476733350974E-3</c:v>
                </c:pt>
                <c:pt idx="3">
                  <c:v>3.2764213044882105E-3</c:v>
                </c:pt>
                <c:pt idx="4">
                  <c:v>3.3988821307756648E-3</c:v>
                </c:pt>
                <c:pt idx="5">
                  <c:v>2.9536452733519738E-3</c:v>
                </c:pt>
                <c:pt idx="6">
                  <c:v>3.0220442476305231E-3</c:v>
                </c:pt>
                <c:pt idx="7">
                  <c:v>3.1276832394429343E-3</c:v>
                </c:pt>
                <c:pt idx="8">
                  <c:v>2.0353698179233601E-3</c:v>
                </c:pt>
                <c:pt idx="9">
                  <c:v>2.4729792022805674E-3</c:v>
                </c:pt>
                <c:pt idx="10">
                  <c:v>2.3459481367512081E-3</c:v>
                </c:pt>
                <c:pt idx="11">
                  <c:v>2.2189170712218487E-3</c:v>
                </c:pt>
                <c:pt idx="12">
                  <c:v>2.0918860056925448E-3</c:v>
                </c:pt>
                <c:pt idx="13">
                  <c:v>1.9648549401631854E-3</c:v>
                </c:pt>
                <c:pt idx="14">
                  <c:v>1.8378238746338815E-3</c:v>
                </c:pt>
                <c:pt idx="15">
                  <c:v>1.7107928091045221E-3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B32-4135-A155-FFA749BEDE13}"/>
            </c:ext>
          </c:extLst>
        </c:ser>
        <c:ser>
          <c:idx val="2"/>
          <c:order val="2"/>
          <c:tx>
            <c:strRef>
              <c:f>'Bazis modell FES adatai'!$C$70</c:f>
              <c:strCache>
                <c:ptCount val="1"/>
                <c:pt idx="0">
                  <c:v>Felsőfokúak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adatai'!$D$70:$S$70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9.8682801930336031E-3</c:v>
                </c:pt>
                <c:pt idx="2">
                  <c:v>9.9335233818607319E-3</c:v>
                </c:pt>
                <c:pt idx="3">
                  <c:v>1.1063869210415479E-2</c:v>
                </c:pt>
                <c:pt idx="4">
                  <c:v>9.3366076563250675E-3</c:v>
                </c:pt>
                <c:pt idx="5">
                  <c:v>9.9302186240201873E-3</c:v>
                </c:pt>
                <c:pt idx="6">
                  <c:v>9.0542955833144319E-3</c:v>
                </c:pt>
                <c:pt idx="7">
                  <c:v>8.0225107856044392E-3</c:v>
                </c:pt>
                <c:pt idx="8">
                  <c:v>8.3627100357809691E-3</c:v>
                </c:pt>
                <c:pt idx="9">
                  <c:v>8.0788681483127123E-3</c:v>
                </c:pt>
                <c:pt idx="10">
                  <c:v>7.7749495293167881E-3</c:v>
                </c:pt>
                <c:pt idx="11">
                  <c:v>7.4710309103208639E-3</c:v>
                </c:pt>
                <c:pt idx="12">
                  <c:v>7.1671122913249397E-3</c:v>
                </c:pt>
                <c:pt idx="13">
                  <c:v>6.8631936723290154E-3</c:v>
                </c:pt>
                <c:pt idx="14">
                  <c:v>6.5592750533330912E-3</c:v>
                </c:pt>
                <c:pt idx="15">
                  <c:v>6.255356434337167E-3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B32-4135-A155-FFA749BEDE13}"/>
            </c:ext>
          </c:extLst>
        </c:ser>
        <c:ser>
          <c:idx val="3"/>
          <c:order val="3"/>
          <c:tx>
            <c:strRef>
              <c:f>'Bazis modell FES adatai'!$C$71</c:f>
              <c:strCache>
                <c:ptCount val="1"/>
                <c:pt idx="0">
                  <c:v>Egyéb felső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adatai'!$D$71:$S$71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1.0351330814743294E-2</c:v>
                </c:pt>
                <c:pt idx="2">
                  <c:v>1.085987627620499E-2</c:v>
                </c:pt>
                <c:pt idx="3">
                  <c:v>1.2184144172965044E-2</c:v>
                </c:pt>
                <c:pt idx="4">
                  <c:v>1.2281206151046687E-2</c:v>
                </c:pt>
                <c:pt idx="5">
                  <c:v>1.1303846784765105E-2</c:v>
                </c:pt>
                <c:pt idx="6">
                  <c:v>1.2118118041217202E-2</c:v>
                </c:pt>
                <c:pt idx="7">
                  <c:v>1.1549918889086802E-2</c:v>
                </c:pt>
                <c:pt idx="8">
                  <c:v>1.0693392121451763E-2</c:v>
                </c:pt>
                <c:pt idx="9">
                  <c:v>1.1667865109105294E-2</c:v>
                </c:pt>
                <c:pt idx="10">
                  <c:v>1.1723450876365324E-2</c:v>
                </c:pt>
                <c:pt idx="11">
                  <c:v>1.1779036643625368E-2</c:v>
                </c:pt>
                <c:pt idx="12">
                  <c:v>1.1834622410885398E-2</c:v>
                </c:pt>
                <c:pt idx="13">
                  <c:v>1.1890208178145442E-2</c:v>
                </c:pt>
                <c:pt idx="14">
                  <c:v>1.1945793945405486E-2</c:v>
                </c:pt>
                <c:pt idx="15">
                  <c:v>1.2001379712665516E-2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B32-4135-A155-FFA749BEDE13}"/>
            </c:ext>
          </c:extLst>
        </c:ser>
        <c:ser>
          <c:idx val="4"/>
          <c:order val="4"/>
          <c:tx>
            <c:strRef>
              <c:f>'Bazis modell FES adatai'!$C$72</c:f>
              <c:strCache>
                <c:ptCount val="1"/>
                <c:pt idx="0">
                  <c:v>Iroda-ügyvitel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adatai'!$D$72:$S$72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9.0614095824440386E-3</c:v>
                </c:pt>
                <c:pt idx="2">
                  <c:v>9.8140002864232183E-3</c:v>
                </c:pt>
                <c:pt idx="3">
                  <c:v>9.4891134154633013E-3</c:v>
                </c:pt>
                <c:pt idx="4">
                  <c:v>8.9443274702862788E-3</c:v>
                </c:pt>
                <c:pt idx="5">
                  <c:v>8.5545310507404194E-3</c:v>
                </c:pt>
                <c:pt idx="6">
                  <c:v>8.3775756148421164E-3</c:v>
                </c:pt>
                <c:pt idx="7">
                  <c:v>8.4533617661059525E-3</c:v>
                </c:pt>
                <c:pt idx="8">
                  <c:v>8.1759466660278387E-3</c:v>
                </c:pt>
                <c:pt idx="9">
                  <c:v>7.9627559366536871E-3</c:v>
                </c:pt>
                <c:pt idx="10">
                  <c:v>7.7636387600119039E-3</c:v>
                </c:pt>
                <c:pt idx="11">
                  <c:v>7.5645215833701207E-3</c:v>
                </c:pt>
                <c:pt idx="12">
                  <c:v>7.3654044067283375E-3</c:v>
                </c:pt>
                <c:pt idx="13">
                  <c:v>7.1662872300866098E-3</c:v>
                </c:pt>
                <c:pt idx="14">
                  <c:v>6.9671700534448266E-3</c:v>
                </c:pt>
                <c:pt idx="15">
                  <c:v>6.7680528768030435E-3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B32-4135-A155-FFA749BEDE13}"/>
            </c:ext>
          </c:extLst>
        </c:ser>
        <c:ser>
          <c:idx val="5"/>
          <c:order val="5"/>
          <c:tx>
            <c:strRef>
              <c:f>'Bazis modell FES adatai'!$C$73</c:f>
              <c:strCache>
                <c:ptCount val="1"/>
                <c:pt idx="0">
                  <c:v>Ker-szolg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adatai'!$D$73:$S$73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3.6253676414606507E-3</c:v>
                </c:pt>
                <c:pt idx="2">
                  <c:v>4.8444021226878714E-3</c:v>
                </c:pt>
                <c:pt idx="3">
                  <c:v>5.8332817732104098E-3</c:v>
                </c:pt>
                <c:pt idx="4">
                  <c:v>4.4427639229778493E-3</c:v>
                </c:pt>
                <c:pt idx="5">
                  <c:v>4.2919948019781579E-3</c:v>
                </c:pt>
                <c:pt idx="6">
                  <c:v>4.0902608615290105E-3</c:v>
                </c:pt>
                <c:pt idx="7">
                  <c:v>4.0754734857134716E-3</c:v>
                </c:pt>
                <c:pt idx="8">
                  <c:v>3.5989574283283757E-3</c:v>
                </c:pt>
                <c:pt idx="9">
                  <c:v>3.8462406190477583E-3</c:v>
                </c:pt>
                <c:pt idx="10">
                  <c:v>3.7342245888948855E-3</c:v>
                </c:pt>
                <c:pt idx="11">
                  <c:v>3.6222085587420128E-3</c:v>
                </c:pt>
                <c:pt idx="12">
                  <c:v>3.51019252858914E-3</c:v>
                </c:pt>
                <c:pt idx="13">
                  <c:v>3.3981764984362395E-3</c:v>
                </c:pt>
                <c:pt idx="14">
                  <c:v>3.2861604682833667E-3</c:v>
                </c:pt>
                <c:pt idx="15">
                  <c:v>3.174144438130494E-3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B32-4135-A155-FFA749BEDE13}"/>
            </c:ext>
          </c:extLst>
        </c:ser>
        <c:ser>
          <c:idx val="6"/>
          <c:order val="6"/>
          <c:tx>
            <c:strRef>
              <c:f>'Bazis modell FES adatai'!$C$74</c:f>
              <c:strCache>
                <c:ptCount val="1"/>
                <c:pt idx="0">
                  <c:v>Mező-erdő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adatai'!$D$74:$S$74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8.1226761040422823E-3</c:v>
                </c:pt>
                <c:pt idx="2">
                  <c:v>8.8110626263444482E-3</c:v>
                </c:pt>
                <c:pt idx="3">
                  <c:v>7.5612219558697184E-3</c:v>
                </c:pt>
                <c:pt idx="4">
                  <c:v>7.323851285009066E-3</c:v>
                </c:pt>
                <c:pt idx="5">
                  <c:v>7.791653016091654E-3</c:v>
                </c:pt>
                <c:pt idx="6">
                  <c:v>8.990409736773123E-3</c:v>
                </c:pt>
                <c:pt idx="7">
                  <c:v>8.4369795995469597E-3</c:v>
                </c:pt>
                <c:pt idx="8">
                  <c:v>8.1979371755353057E-3</c:v>
                </c:pt>
                <c:pt idx="9">
                  <c:v>8.3372477288438801E-3</c:v>
                </c:pt>
                <c:pt idx="10">
                  <c:v>8.3778641269421639E-3</c:v>
                </c:pt>
                <c:pt idx="11">
                  <c:v>8.4184805250404615E-3</c:v>
                </c:pt>
                <c:pt idx="12">
                  <c:v>8.4590969231387592E-3</c:v>
                </c:pt>
                <c:pt idx="13">
                  <c:v>8.4997133212370429E-3</c:v>
                </c:pt>
                <c:pt idx="14">
                  <c:v>8.5403297193353406E-3</c:v>
                </c:pt>
                <c:pt idx="15">
                  <c:v>8.5809461174336243E-3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B32-4135-A155-FFA749BEDE13}"/>
            </c:ext>
          </c:extLst>
        </c:ser>
        <c:ser>
          <c:idx val="7"/>
          <c:order val="7"/>
          <c:tx>
            <c:strRef>
              <c:f>'Bazis modell FES adatai'!$C$75</c:f>
              <c:strCache>
                <c:ptCount val="1"/>
                <c:pt idx="0">
                  <c:v>ipar-épip.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adatai'!$D$75:$S$75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3.7890000826499479E-3</c:v>
                </c:pt>
                <c:pt idx="2">
                  <c:v>4.3342282554194034E-3</c:v>
                </c:pt>
                <c:pt idx="3">
                  <c:v>4.6859205646225636E-3</c:v>
                </c:pt>
                <c:pt idx="4">
                  <c:v>4.258355485774413E-3</c:v>
                </c:pt>
                <c:pt idx="5">
                  <c:v>4.37678887460872E-3</c:v>
                </c:pt>
                <c:pt idx="6">
                  <c:v>4.098529465645393E-3</c:v>
                </c:pt>
                <c:pt idx="7">
                  <c:v>3.7956660808858714E-3</c:v>
                </c:pt>
                <c:pt idx="8">
                  <c:v>3.82081203665725E-3</c:v>
                </c:pt>
                <c:pt idx="9">
                  <c:v>3.9245268681375733E-3</c:v>
                </c:pt>
                <c:pt idx="10">
                  <c:v>3.8755522597719305E-3</c:v>
                </c:pt>
                <c:pt idx="11">
                  <c:v>3.8265776514062877E-3</c:v>
                </c:pt>
                <c:pt idx="12">
                  <c:v>3.7776030430406587E-3</c:v>
                </c:pt>
                <c:pt idx="13">
                  <c:v>3.7286284346750159E-3</c:v>
                </c:pt>
                <c:pt idx="14">
                  <c:v>3.6796538263093731E-3</c:v>
                </c:pt>
                <c:pt idx="15">
                  <c:v>3.6306792179437303E-3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B32-4135-A155-FFA749BEDE13}"/>
            </c:ext>
          </c:extLst>
        </c:ser>
        <c:ser>
          <c:idx val="8"/>
          <c:order val="8"/>
          <c:tx>
            <c:strRef>
              <c:f>'Bazis modell FES adatai'!$C$76</c:f>
              <c:strCache>
                <c:ptCount val="1"/>
                <c:pt idx="0">
                  <c:v>Összeszerelők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adatai'!$D$76:$S$76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4.6913707963429727E-3</c:v>
                </c:pt>
                <c:pt idx="2">
                  <c:v>5.1034992420119071E-3</c:v>
                </c:pt>
                <c:pt idx="3">
                  <c:v>5.8479915322948691E-3</c:v>
                </c:pt>
                <c:pt idx="4">
                  <c:v>5.8139070858532777E-3</c:v>
                </c:pt>
                <c:pt idx="5">
                  <c:v>5.8358378857121963E-3</c:v>
                </c:pt>
                <c:pt idx="6">
                  <c:v>5.4912235126583255E-3</c:v>
                </c:pt>
                <c:pt idx="7">
                  <c:v>5.3948931803747633E-3</c:v>
                </c:pt>
                <c:pt idx="8">
                  <c:v>5.1053853101200109E-3</c:v>
                </c:pt>
                <c:pt idx="9">
                  <c:v>5.5876581054497693E-3</c:v>
                </c:pt>
                <c:pt idx="10">
                  <c:v>5.6270235581783734E-3</c:v>
                </c:pt>
                <c:pt idx="11">
                  <c:v>5.6663890109069776E-3</c:v>
                </c:pt>
                <c:pt idx="12">
                  <c:v>5.7057544636355817E-3</c:v>
                </c:pt>
                <c:pt idx="13">
                  <c:v>5.7451199163641858E-3</c:v>
                </c:pt>
                <c:pt idx="14">
                  <c:v>5.78448536909279E-3</c:v>
                </c:pt>
                <c:pt idx="15">
                  <c:v>5.8238508218213941E-3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B32-4135-A155-FFA749BEDE13}"/>
            </c:ext>
          </c:extLst>
        </c:ser>
        <c:ser>
          <c:idx val="9"/>
          <c:order val="9"/>
          <c:tx>
            <c:strRef>
              <c:f>'Bazis modell FES adatai'!$C$77</c:f>
              <c:strCache>
                <c:ptCount val="1"/>
                <c:pt idx="0">
                  <c:v>szakképzetlen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adatai'!$D$77:$S$77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5.285614924872525E-3</c:v>
                </c:pt>
                <c:pt idx="2">
                  <c:v>5.6009578863614896E-3</c:v>
                </c:pt>
                <c:pt idx="3">
                  <c:v>6.6627092923451777E-3</c:v>
                </c:pt>
                <c:pt idx="4">
                  <c:v>6.7392473277223391E-3</c:v>
                </c:pt>
                <c:pt idx="5">
                  <c:v>6.290520357536895E-3</c:v>
                </c:pt>
                <c:pt idx="6">
                  <c:v>5.9819434074810801E-3</c:v>
                </c:pt>
                <c:pt idx="7">
                  <c:v>5.6286666971715931E-3</c:v>
                </c:pt>
                <c:pt idx="8">
                  <c:v>5.3273958795092219E-3</c:v>
                </c:pt>
                <c:pt idx="9">
                  <c:v>5.829274084753415E-3</c:v>
                </c:pt>
                <c:pt idx="10">
                  <c:v>5.8047501098930504E-3</c:v>
                </c:pt>
                <c:pt idx="11">
                  <c:v>5.7802261350326928E-3</c:v>
                </c:pt>
                <c:pt idx="12">
                  <c:v>5.7557021601723282E-3</c:v>
                </c:pt>
                <c:pt idx="13">
                  <c:v>5.7311781853119706E-3</c:v>
                </c:pt>
                <c:pt idx="14">
                  <c:v>5.706654210451606E-3</c:v>
                </c:pt>
                <c:pt idx="15">
                  <c:v>5.6821302355912484E-3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7B32-4135-A155-FFA749BEDE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7798175"/>
        <c:axId val="1321559903"/>
      </c:lineChart>
      <c:catAx>
        <c:axId val="12577981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21559903"/>
        <c:crosses val="autoZero"/>
        <c:auto val="1"/>
        <c:lblAlgn val="ctr"/>
        <c:lblOffset val="100"/>
        <c:noMultiLvlLbl val="0"/>
      </c:catAx>
      <c:valAx>
        <c:axId val="13215599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2577981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1400">
          <a:solidFill>
            <a:sysClr val="windowText" lastClr="000000"/>
          </a:solidFill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'Bazis modell FES adatai'!$D$67</c:f>
          <c:strCache>
            <c:ptCount val="1"/>
            <c:pt idx="0">
              <c:v>Upstream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'Bazis modell FES adatai'!$C$81</c:f>
              <c:strCache>
                <c:ptCount val="1"/>
                <c:pt idx="0">
                  <c:v>0-7 osztály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adatai'!$D$81:$S$81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2.1683690744733766E-4</c:v>
                </c:pt>
                <c:pt idx="2">
                  <c:v>2.4266513893655449E-4</c:v>
                </c:pt>
                <c:pt idx="3">
                  <c:v>3.2736822459000694E-4</c:v>
                </c:pt>
                <c:pt idx="4">
                  <c:v>2.7854437423268269E-4</c:v>
                </c:pt>
                <c:pt idx="5">
                  <c:v>2.9583908761496715E-4</c:v>
                </c:pt>
                <c:pt idx="6">
                  <c:v>2.062799132192143E-4</c:v>
                </c:pt>
                <c:pt idx="7">
                  <c:v>2.3917963176129709E-4</c:v>
                </c:pt>
                <c:pt idx="8">
                  <c:v>2.1709779598860717E-4</c:v>
                </c:pt>
                <c:pt idx="9">
                  <c:v>2.3360648046575304E-4</c:v>
                </c:pt>
                <c:pt idx="10">
                  <c:v>2.2930205740840162E-4</c:v>
                </c:pt>
                <c:pt idx="11">
                  <c:v>2.249976343510502E-4</c:v>
                </c:pt>
                <c:pt idx="12">
                  <c:v>2.2069321129370052E-4</c:v>
                </c:pt>
                <c:pt idx="13">
                  <c:v>2.1638878823634911E-4</c:v>
                </c:pt>
                <c:pt idx="14">
                  <c:v>2.1208436517899769E-4</c:v>
                </c:pt>
                <c:pt idx="15">
                  <c:v>2.0777994212164627E-4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200-4392-B8BF-DCAC03CAB02C}"/>
            </c:ext>
          </c:extLst>
        </c:ser>
        <c:ser>
          <c:idx val="1"/>
          <c:order val="1"/>
          <c:tx>
            <c:strRef>
              <c:f>'Bazis modell FES adatai'!$C$82</c:f>
              <c:strCache>
                <c:ptCount val="1"/>
                <c:pt idx="0">
                  <c:v>8 osztály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adatai'!$D$82:$S$82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7.3431732584703438E-3</c:v>
                </c:pt>
                <c:pt idx="2">
                  <c:v>7.9699995349637818E-3</c:v>
                </c:pt>
                <c:pt idx="3">
                  <c:v>7.2858958444543855E-3</c:v>
                </c:pt>
                <c:pt idx="4">
                  <c:v>7.2736266058933624E-3</c:v>
                </c:pt>
                <c:pt idx="5">
                  <c:v>7.2494007416981183E-3</c:v>
                </c:pt>
                <c:pt idx="6">
                  <c:v>7.7952047712346213E-3</c:v>
                </c:pt>
                <c:pt idx="7">
                  <c:v>7.098638502510031E-3</c:v>
                </c:pt>
                <c:pt idx="8">
                  <c:v>6.3847338880614933E-3</c:v>
                </c:pt>
                <c:pt idx="9">
                  <c:v>6.7878245091794187E-3</c:v>
                </c:pt>
                <c:pt idx="10">
                  <c:v>6.6739890349057918E-3</c:v>
                </c:pt>
                <c:pt idx="11">
                  <c:v>6.5601535606321648E-3</c:v>
                </c:pt>
                <c:pt idx="12">
                  <c:v>6.4463180863585379E-3</c:v>
                </c:pt>
                <c:pt idx="13">
                  <c:v>6.3324826120848832E-3</c:v>
                </c:pt>
                <c:pt idx="14">
                  <c:v>6.2186471378112562E-3</c:v>
                </c:pt>
                <c:pt idx="15">
                  <c:v>6.1048116635376293E-3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200-4392-B8BF-DCAC03CAB02C}"/>
            </c:ext>
          </c:extLst>
        </c:ser>
        <c:ser>
          <c:idx val="2"/>
          <c:order val="2"/>
          <c:tx>
            <c:strRef>
              <c:f>'Bazis modell FES adatai'!$C$83</c:f>
              <c:strCache>
                <c:ptCount val="1"/>
                <c:pt idx="0">
                  <c:v>szakiskola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adatai'!$D$83:$S$83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1.3438242464056475E-2</c:v>
                </c:pt>
                <c:pt idx="2">
                  <c:v>1.4559614907972066E-2</c:v>
                </c:pt>
                <c:pt idx="3">
                  <c:v>1.5835917950642913E-2</c:v>
                </c:pt>
                <c:pt idx="4">
                  <c:v>1.4379806204678646E-2</c:v>
                </c:pt>
                <c:pt idx="5">
                  <c:v>1.4212811760078379E-2</c:v>
                </c:pt>
                <c:pt idx="6">
                  <c:v>1.3552764374378513E-2</c:v>
                </c:pt>
                <c:pt idx="7">
                  <c:v>1.3250961153739834E-2</c:v>
                </c:pt>
                <c:pt idx="8">
                  <c:v>1.2263608076921086E-2</c:v>
                </c:pt>
                <c:pt idx="9">
                  <c:v>1.2769814183638761E-2</c:v>
                </c:pt>
                <c:pt idx="10">
                  <c:v>1.2510502699656589E-2</c:v>
                </c:pt>
                <c:pt idx="11">
                  <c:v>1.2251191215674417E-2</c:v>
                </c:pt>
                <c:pt idx="12">
                  <c:v>1.1991879731692245E-2</c:v>
                </c:pt>
                <c:pt idx="13">
                  <c:v>1.1732568247710073E-2</c:v>
                </c:pt>
                <c:pt idx="14">
                  <c:v>1.1473256763727901E-2</c:v>
                </c:pt>
                <c:pt idx="15">
                  <c:v>1.121394527974573E-2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200-4392-B8BF-DCAC03CAB02C}"/>
            </c:ext>
          </c:extLst>
        </c:ser>
        <c:ser>
          <c:idx val="3"/>
          <c:order val="3"/>
          <c:tx>
            <c:strRef>
              <c:f>'Bazis modell FES adatai'!$C$84</c:f>
              <c:strCache>
                <c:ptCount val="1"/>
                <c:pt idx="0">
                  <c:v>Gimnázium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adatai'!$D$84:$S$84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5.5582399687019455E-3</c:v>
                </c:pt>
                <c:pt idx="2">
                  <c:v>6.2852324982116056E-3</c:v>
                </c:pt>
                <c:pt idx="3">
                  <c:v>7.1552326051386337E-3</c:v>
                </c:pt>
                <c:pt idx="4">
                  <c:v>6.6777150285430627E-3</c:v>
                </c:pt>
                <c:pt idx="5">
                  <c:v>7.0828569454015567E-3</c:v>
                </c:pt>
                <c:pt idx="6">
                  <c:v>8.0877392810784106E-3</c:v>
                </c:pt>
                <c:pt idx="7">
                  <c:v>8.0216916772764893E-3</c:v>
                </c:pt>
                <c:pt idx="8">
                  <c:v>7.6899720020188597E-3</c:v>
                </c:pt>
                <c:pt idx="9">
                  <c:v>8.5059286832902536E-3</c:v>
                </c:pt>
                <c:pt idx="10">
                  <c:v>8.8250606127333597E-3</c:v>
                </c:pt>
                <c:pt idx="11">
                  <c:v>9.1441925421764658E-3</c:v>
                </c:pt>
                <c:pt idx="12">
                  <c:v>9.4633244716195719E-3</c:v>
                </c:pt>
                <c:pt idx="13">
                  <c:v>9.782456401062678E-3</c:v>
                </c:pt>
                <c:pt idx="14">
                  <c:v>1.0101588330505784E-2</c:v>
                </c:pt>
                <c:pt idx="15">
                  <c:v>1.042072025994889E-2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200-4392-B8BF-DCAC03CAB02C}"/>
            </c:ext>
          </c:extLst>
        </c:ser>
        <c:ser>
          <c:idx val="4"/>
          <c:order val="4"/>
          <c:tx>
            <c:strRef>
              <c:f>'Bazis modell FES adatai'!$C$85</c:f>
              <c:strCache>
                <c:ptCount val="1"/>
                <c:pt idx="0">
                  <c:v>Technikum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adatai'!$D$85:$S$85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1.370550878466566E-2</c:v>
                </c:pt>
                <c:pt idx="2">
                  <c:v>1.5105489208820478E-2</c:v>
                </c:pt>
                <c:pt idx="3">
                  <c:v>1.5870206906301861E-2</c:v>
                </c:pt>
                <c:pt idx="4">
                  <c:v>1.4418629033563581E-2</c:v>
                </c:pt>
                <c:pt idx="5">
                  <c:v>1.2743465686300651E-2</c:v>
                </c:pt>
                <c:pt idx="6">
                  <c:v>1.2393506077261756E-2</c:v>
                </c:pt>
                <c:pt idx="7">
                  <c:v>1.2531128755137682E-2</c:v>
                </c:pt>
                <c:pt idx="8">
                  <c:v>1.1572466638039252E-2</c:v>
                </c:pt>
                <c:pt idx="9">
                  <c:v>1.1404602111483864E-2</c:v>
                </c:pt>
                <c:pt idx="10">
                  <c:v>1.0929502550422132E-2</c:v>
                </c:pt>
                <c:pt idx="11">
                  <c:v>1.0454402989360401E-2</c:v>
                </c:pt>
                <c:pt idx="12">
                  <c:v>9.9793034282987803E-3</c:v>
                </c:pt>
                <c:pt idx="13">
                  <c:v>9.5042038672370488E-3</c:v>
                </c:pt>
                <c:pt idx="14">
                  <c:v>9.0291043061753173E-3</c:v>
                </c:pt>
                <c:pt idx="15">
                  <c:v>8.5540047451136969E-3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200-4392-B8BF-DCAC03CAB02C}"/>
            </c:ext>
          </c:extLst>
        </c:ser>
        <c:ser>
          <c:idx val="5"/>
          <c:order val="5"/>
          <c:tx>
            <c:strRef>
              <c:f>'Bazis modell FES adatai'!$C$86</c:f>
              <c:strCache>
                <c:ptCount val="1"/>
                <c:pt idx="0">
                  <c:v>Főiskola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adatai'!$D$86:$S$86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9.3835071245745513E-3</c:v>
                </c:pt>
                <c:pt idx="2">
                  <c:v>1.0280453348732139E-2</c:v>
                </c:pt>
                <c:pt idx="3">
                  <c:v>1.0943654972380413E-2</c:v>
                </c:pt>
                <c:pt idx="4">
                  <c:v>1.0620776374878181E-2</c:v>
                </c:pt>
                <c:pt idx="5">
                  <c:v>1.0744850591066486E-2</c:v>
                </c:pt>
                <c:pt idx="6">
                  <c:v>1.0989845250052361E-2</c:v>
                </c:pt>
                <c:pt idx="7">
                  <c:v>1.015628797991327E-2</c:v>
                </c:pt>
                <c:pt idx="8">
                  <c:v>8.7593190122170535E-3</c:v>
                </c:pt>
                <c:pt idx="9">
                  <c:v>9.9815779791522091E-3</c:v>
                </c:pt>
                <c:pt idx="10">
                  <c:v>9.9252982341356266E-3</c:v>
                </c:pt>
                <c:pt idx="11">
                  <c:v>9.8690184891190441E-3</c:v>
                </c:pt>
                <c:pt idx="12">
                  <c:v>9.8127387441024616E-3</c:v>
                </c:pt>
                <c:pt idx="13">
                  <c:v>9.756458999085893E-3</c:v>
                </c:pt>
                <c:pt idx="14">
                  <c:v>9.7001792540693105E-3</c:v>
                </c:pt>
                <c:pt idx="15">
                  <c:v>9.643899509052728E-3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200-4392-B8BF-DCAC03CAB02C}"/>
            </c:ext>
          </c:extLst>
        </c:ser>
        <c:ser>
          <c:idx val="6"/>
          <c:order val="6"/>
          <c:tx>
            <c:strRef>
              <c:f>'Bazis modell FES adatai'!$C$87</c:f>
              <c:strCache>
                <c:ptCount val="1"/>
                <c:pt idx="0">
                  <c:v>Egyetem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adatai'!$D$87:$S$87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8.4763518365777463E-3</c:v>
                </c:pt>
                <c:pt idx="2">
                  <c:v>8.0890335833659534E-3</c:v>
                </c:pt>
                <c:pt idx="3">
                  <c:v>9.1968457194472469E-3</c:v>
                </c:pt>
                <c:pt idx="4">
                  <c:v>8.9058815620701309E-3</c:v>
                </c:pt>
                <c:pt idx="5">
                  <c:v>9.0018712691799993E-3</c:v>
                </c:pt>
                <c:pt idx="6">
                  <c:v>8.2108979634434674E-3</c:v>
                </c:pt>
                <c:pt idx="7">
                  <c:v>7.1893137944140564E-3</c:v>
                </c:pt>
                <c:pt idx="8">
                  <c:v>8.4307090580877462E-3</c:v>
                </c:pt>
                <c:pt idx="9">
                  <c:v>8.0261871007291652E-3</c:v>
                </c:pt>
                <c:pt idx="10">
                  <c:v>7.9347591012637886E-3</c:v>
                </c:pt>
                <c:pt idx="11">
                  <c:v>7.843331101798412E-3</c:v>
                </c:pt>
                <c:pt idx="12">
                  <c:v>7.7519031023330354E-3</c:v>
                </c:pt>
                <c:pt idx="13">
                  <c:v>7.6604751028676865E-3</c:v>
                </c:pt>
                <c:pt idx="14">
                  <c:v>7.5690471034023099E-3</c:v>
                </c:pt>
                <c:pt idx="15">
                  <c:v>7.4776191039369333E-3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200-4392-B8BF-DCAC03CAB0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75614895"/>
        <c:axId val="1475614479"/>
      </c:lineChart>
      <c:catAx>
        <c:axId val="1475614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475614479"/>
        <c:crosses val="autoZero"/>
        <c:auto val="1"/>
        <c:lblAlgn val="ctr"/>
        <c:lblOffset val="100"/>
        <c:noMultiLvlLbl val="0"/>
      </c:catAx>
      <c:valAx>
        <c:axId val="14756144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4756148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1400">
          <a:solidFill>
            <a:sysClr val="windowText" lastClr="000000"/>
          </a:solidFill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'Bazis modell FES adatai'!$D$92</c:f>
          <c:strCache>
            <c:ptCount val="1"/>
            <c:pt idx="0">
              <c:v>Gyártás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'Bazis modell FES adatai'!$C$93</c:f>
              <c:strCache>
                <c:ptCount val="1"/>
                <c:pt idx="0">
                  <c:v>Fegyveresek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adatai'!$D$93:$S$93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0</c:v>
                </c:pt>
                <c:pt idx="2">
                  <c:v>1.0088541380416785E-6</c:v>
                </c:pt>
                <c:pt idx="3">
                  <c:v>0</c:v>
                </c:pt>
                <c:pt idx="4">
                  <c:v>1.7086084706250941E-6</c:v>
                </c:pt>
                <c:pt idx="5">
                  <c:v>0</c:v>
                </c:pt>
                <c:pt idx="6">
                  <c:v>6.3064788269714919E-7</c:v>
                </c:pt>
                <c:pt idx="7">
                  <c:v>0</c:v>
                </c:pt>
                <c:pt idx="8">
                  <c:v>0</c:v>
                </c:pt>
                <c:pt idx="9">
                  <c:v>1.5810655180930775E-7</c:v>
                </c:pt>
                <c:pt idx="10" formatCode="0.00">
                  <c:v>1.0023827189570593E-7</c:v>
                </c:pt>
                <c:pt idx="11" formatCode="0.00">
                  <c:v>4.2369991982117651E-8</c:v>
                </c:pt>
                <c:pt idx="12" formatCode="0.00">
                  <c:v>-1.5498287931484177E-8</c:v>
                </c:pt>
                <c:pt idx="13" formatCode="0.00">
                  <c:v>-7.3366567845072452E-8</c:v>
                </c:pt>
                <c:pt idx="14" formatCode="0.00">
                  <c:v>-1.3123484775867428E-7</c:v>
                </c:pt>
                <c:pt idx="15" formatCode="0.00">
                  <c:v>-1.8910312767226255E-7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D1D-416C-84E0-940639304E27}"/>
            </c:ext>
          </c:extLst>
        </c:ser>
        <c:ser>
          <c:idx val="1"/>
          <c:order val="1"/>
          <c:tx>
            <c:strRef>
              <c:f>'Bazis modell FES adatai'!$C$94</c:f>
              <c:strCache>
                <c:ptCount val="1"/>
                <c:pt idx="0">
                  <c:v>Vezetők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adatai'!$D$94:$S$94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2.0354569879038613E-3</c:v>
                </c:pt>
                <c:pt idx="2">
                  <c:v>1.771812090104008E-3</c:v>
                </c:pt>
                <c:pt idx="3">
                  <c:v>1.7106676271554221E-3</c:v>
                </c:pt>
                <c:pt idx="4">
                  <c:v>1.7693665878405224E-3</c:v>
                </c:pt>
                <c:pt idx="5">
                  <c:v>1.6465621980259577E-3</c:v>
                </c:pt>
                <c:pt idx="6">
                  <c:v>1.6614628685617298E-3</c:v>
                </c:pt>
                <c:pt idx="7">
                  <c:v>1.5487180480202854E-3</c:v>
                </c:pt>
                <c:pt idx="8">
                  <c:v>1.5058286191856273E-3</c:v>
                </c:pt>
                <c:pt idx="9">
                  <c:v>1.4333796931509935E-3</c:v>
                </c:pt>
                <c:pt idx="10" formatCode="0.00">
                  <c:v>1.3727453186623967E-3</c:v>
                </c:pt>
                <c:pt idx="11" formatCode="0.00">
                  <c:v>1.3121109441738138E-3</c:v>
                </c:pt>
                <c:pt idx="12" formatCode="0.00">
                  <c:v>1.251476569685217E-3</c:v>
                </c:pt>
                <c:pt idx="13" formatCode="0.00">
                  <c:v>1.1908421951966203E-3</c:v>
                </c:pt>
                <c:pt idx="14" formatCode="0.00">
                  <c:v>1.1302078207080235E-3</c:v>
                </c:pt>
                <c:pt idx="15" formatCode="0.00">
                  <c:v>1.0695734462194267E-3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D1D-416C-84E0-940639304E27}"/>
            </c:ext>
          </c:extLst>
        </c:ser>
        <c:ser>
          <c:idx val="2"/>
          <c:order val="2"/>
          <c:tx>
            <c:strRef>
              <c:f>'Bazis modell FES adatai'!$C$95</c:f>
              <c:strCache>
                <c:ptCount val="1"/>
                <c:pt idx="0">
                  <c:v>Felsőfokúak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adatai'!$D$95:$S$95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3.0839318928963769E-3</c:v>
                </c:pt>
                <c:pt idx="2">
                  <c:v>3.7779185435998859E-3</c:v>
                </c:pt>
                <c:pt idx="3">
                  <c:v>3.9374226931880524E-3</c:v>
                </c:pt>
                <c:pt idx="4">
                  <c:v>3.8264172792417603E-3</c:v>
                </c:pt>
                <c:pt idx="5">
                  <c:v>3.7109868663234859E-3</c:v>
                </c:pt>
                <c:pt idx="6">
                  <c:v>3.7209906806818993E-3</c:v>
                </c:pt>
                <c:pt idx="7">
                  <c:v>3.6370071821190896E-3</c:v>
                </c:pt>
                <c:pt idx="8">
                  <c:v>3.3817616613422302E-3</c:v>
                </c:pt>
                <c:pt idx="9">
                  <c:v>3.6675291599926833E-3</c:v>
                </c:pt>
                <c:pt idx="10" formatCode="0.00">
                  <c:v>3.674856840007925E-3</c:v>
                </c:pt>
                <c:pt idx="11" formatCode="0.00">
                  <c:v>3.6821845200231667E-3</c:v>
                </c:pt>
                <c:pt idx="12" formatCode="0.00">
                  <c:v>3.6895122000384067E-3</c:v>
                </c:pt>
                <c:pt idx="13" formatCode="0.00">
                  <c:v>3.6968398800536484E-3</c:v>
                </c:pt>
                <c:pt idx="14" formatCode="0.00">
                  <c:v>3.7041675600688901E-3</c:v>
                </c:pt>
                <c:pt idx="15" formatCode="0.00">
                  <c:v>3.7114952400841301E-3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D1D-416C-84E0-940639304E27}"/>
            </c:ext>
          </c:extLst>
        </c:ser>
        <c:ser>
          <c:idx val="3"/>
          <c:order val="3"/>
          <c:tx>
            <c:strRef>
              <c:f>'Bazis modell FES adatai'!$C$96</c:f>
              <c:strCache>
                <c:ptCount val="1"/>
                <c:pt idx="0">
                  <c:v>Egyéb felső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adatai'!$D$96:$S$96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4.6099439595219038E-3</c:v>
                </c:pt>
                <c:pt idx="2">
                  <c:v>4.7522554579185671E-3</c:v>
                </c:pt>
                <c:pt idx="3">
                  <c:v>5.3513129220172295E-3</c:v>
                </c:pt>
                <c:pt idx="4">
                  <c:v>4.9686562140240486E-3</c:v>
                </c:pt>
                <c:pt idx="5">
                  <c:v>4.7472823359743354E-3</c:v>
                </c:pt>
                <c:pt idx="6">
                  <c:v>4.9355974811605193E-3</c:v>
                </c:pt>
                <c:pt idx="7">
                  <c:v>4.9727984583987873E-3</c:v>
                </c:pt>
                <c:pt idx="8">
                  <c:v>4.593848098334772E-3</c:v>
                </c:pt>
                <c:pt idx="9">
                  <c:v>4.840829210926165E-3</c:v>
                </c:pt>
                <c:pt idx="10" formatCode="0.00">
                  <c:v>4.8351330653722529E-3</c:v>
                </c:pt>
                <c:pt idx="11" formatCode="0.00">
                  <c:v>4.829436919818339E-3</c:v>
                </c:pt>
                <c:pt idx="12" formatCode="0.00">
                  <c:v>4.8237407742644269E-3</c:v>
                </c:pt>
                <c:pt idx="13" formatCode="0.00">
                  <c:v>4.8180446287105147E-3</c:v>
                </c:pt>
                <c:pt idx="14" formatCode="0.00">
                  <c:v>4.8123484831566008E-3</c:v>
                </c:pt>
                <c:pt idx="15" formatCode="0.00">
                  <c:v>4.8066523376026887E-3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D1D-416C-84E0-940639304E27}"/>
            </c:ext>
          </c:extLst>
        </c:ser>
        <c:ser>
          <c:idx val="4"/>
          <c:order val="4"/>
          <c:tx>
            <c:strRef>
              <c:f>'Bazis modell FES adatai'!$C$97</c:f>
              <c:strCache>
                <c:ptCount val="1"/>
                <c:pt idx="0">
                  <c:v>Iroda-ügyvitel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adatai'!$D$97:$S$97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2.0508712512031092E-3</c:v>
                </c:pt>
                <c:pt idx="2">
                  <c:v>1.9920545565731544E-3</c:v>
                </c:pt>
                <c:pt idx="3">
                  <c:v>2.1075953778951586E-3</c:v>
                </c:pt>
                <c:pt idx="4">
                  <c:v>2.2408513999479483E-3</c:v>
                </c:pt>
                <c:pt idx="5">
                  <c:v>2.1799406763909055E-3</c:v>
                </c:pt>
                <c:pt idx="6">
                  <c:v>2.1696809756312722E-3</c:v>
                </c:pt>
                <c:pt idx="7">
                  <c:v>1.9277896828127448E-3</c:v>
                </c:pt>
                <c:pt idx="8">
                  <c:v>1.9107574789172636E-3</c:v>
                </c:pt>
                <c:pt idx="9">
                  <c:v>2.0094011728597518E-3</c:v>
                </c:pt>
                <c:pt idx="10" formatCode="0.00">
                  <c:v>1.9953919501793718E-3</c:v>
                </c:pt>
                <c:pt idx="11" formatCode="0.00">
                  <c:v>1.9813827274989954E-3</c:v>
                </c:pt>
                <c:pt idx="12" formatCode="0.00">
                  <c:v>1.9673735048186189E-3</c:v>
                </c:pt>
                <c:pt idx="13" formatCode="0.00">
                  <c:v>1.9533642821382424E-3</c:v>
                </c:pt>
                <c:pt idx="14" formatCode="0.00">
                  <c:v>1.939355059457866E-3</c:v>
                </c:pt>
                <c:pt idx="15" formatCode="0.00">
                  <c:v>1.9253458367774895E-3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D1D-416C-84E0-940639304E27}"/>
            </c:ext>
          </c:extLst>
        </c:ser>
        <c:ser>
          <c:idx val="5"/>
          <c:order val="5"/>
          <c:tx>
            <c:strRef>
              <c:f>'Bazis modell FES adatai'!$C$98</c:f>
              <c:strCache>
                <c:ptCount val="1"/>
                <c:pt idx="0">
                  <c:v>Ker-szolg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adatai'!$D$98:$S$98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1.5307043842204273E-3</c:v>
                </c:pt>
                <c:pt idx="2">
                  <c:v>1.6009314153890436E-3</c:v>
                </c:pt>
                <c:pt idx="3">
                  <c:v>1.5762215730661133E-3</c:v>
                </c:pt>
                <c:pt idx="4">
                  <c:v>1.6573046536137912E-3</c:v>
                </c:pt>
                <c:pt idx="5">
                  <c:v>1.3502864293720269E-3</c:v>
                </c:pt>
                <c:pt idx="6">
                  <c:v>1.5313812319573976E-3</c:v>
                </c:pt>
                <c:pt idx="7">
                  <c:v>1.4468440266099604E-3</c:v>
                </c:pt>
                <c:pt idx="8">
                  <c:v>1.3860421736737838E-3</c:v>
                </c:pt>
                <c:pt idx="9">
                  <c:v>1.3907888610615732E-3</c:v>
                </c:pt>
                <c:pt idx="10" formatCode="0.00">
                  <c:v>1.3643053888557424E-3</c:v>
                </c:pt>
                <c:pt idx="11" formatCode="0.00">
                  <c:v>1.3378219166499117E-3</c:v>
                </c:pt>
                <c:pt idx="12" formatCode="0.00">
                  <c:v>1.3113384444440809E-3</c:v>
                </c:pt>
                <c:pt idx="13" formatCode="0.00">
                  <c:v>1.2848549722382502E-3</c:v>
                </c:pt>
                <c:pt idx="14" formatCode="0.00">
                  <c:v>1.2583715000324194E-3</c:v>
                </c:pt>
                <c:pt idx="15" formatCode="0.00">
                  <c:v>1.2318880278265887E-3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D1D-416C-84E0-940639304E27}"/>
            </c:ext>
          </c:extLst>
        </c:ser>
        <c:ser>
          <c:idx val="6"/>
          <c:order val="6"/>
          <c:tx>
            <c:strRef>
              <c:f>'Bazis modell FES adatai'!$C$99</c:f>
              <c:strCache>
                <c:ptCount val="1"/>
                <c:pt idx="0">
                  <c:v>Mező-erdő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adatai'!$D$99:$S$99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2.8027212994339971E-4</c:v>
                </c:pt>
                <c:pt idx="2">
                  <c:v>2.7279896299379391E-4</c:v>
                </c:pt>
                <c:pt idx="3">
                  <c:v>3.0106744296434079E-4</c:v>
                </c:pt>
                <c:pt idx="4">
                  <c:v>2.7588331439026517E-4</c:v>
                </c:pt>
                <c:pt idx="5">
                  <c:v>2.236866930613095E-4</c:v>
                </c:pt>
                <c:pt idx="6">
                  <c:v>2.1959159275514737E-4</c:v>
                </c:pt>
                <c:pt idx="7">
                  <c:v>1.928520033285944E-4</c:v>
                </c:pt>
                <c:pt idx="8">
                  <c:v>2.8652947357032401E-4</c:v>
                </c:pt>
                <c:pt idx="9">
                  <c:v>2.2162676064942793E-4</c:v>
                </c:pt>
                <c:pt idx="10" formatCode="0.00">
                  <c:v>2.1385821821021458E-4</c:v>
                </c:pt>
                <c:pt idx="11" formatCode="0.00">
                  <c:v>2.0608967577099777E-4</c:v>
                </c:pt>
                <c:pt idx="12" formatCode="0.00">
                  <c:v>1.9832113333178442E-4</c:v>
                </c:pt>
                <c:pt idx="13" formatCode="0.00">
                  <c:v>1.905525908925676E-4</c:v>
                </c:pt>
                <c:pt idx="14" formatCode="0.00">
                  <c:v>1.8278404845335425E-4</c:v>
                </c:pt>
                <c:pt idx="15" formatCode="0.00">
                  <c:v>1.7501550601413743E-4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D1D-416C-84E0-940639304E27}"/>
            </c:ext>
          </c:extLst>
        </c:ser>
        <c:ser>
          <c:idx val="7"/>
          <c:order val="7"/>
          <c:tx>
            <c:strRef>
              <c:f>'Bazis modell FES adatai'!$C$100</c:f>
              <c:strCache>
                <c:ptCount val="1"/>
                <c:pt idx="0">
                  <c:v>ipar-épip.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adatai'!$D$100:$S$100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1.063574783012905E-2</c:v>
                </c:pt>
                <c:pt idx="2">
                  <c:v>1.0146094106958402E-2</c:v>
                </c:pt>
                <c:pt idx="3">
                  <c:v>1.0283779416954103E-2</c:v>
                </c:pt>
                <c:pt idx="4">
                  <c:v>1.0055411445537704E-2</c:v>
                </c:pt>
                <c:pt idx="5">
                  <c:v>9.7835815330433399E-3</c:v>
                </c:pt>
                <c:pt idx="6">
                  <c:v>9.4708386647887992E-3</c:v>
                </c:pt>
                <c:pt idx="7">
                  <c:v>9.4397206484961183E-3</c:v>
                </c:pt>
                <c:pt idx="8">
                  <c:v>9.1312891164146252E-3</c:v>
                </c:pt>
                <c:pt idx="9">
                  <c:v>8.9697151422204469E-3</c:v>
                </c:pt>
                <c:pt idx="10" formatCode="0.00">
                  <c:v>8.7700278748716332E-3</c:v>
                </c:pt>
                <c:pt idx="11" formatCode="0.00">
                  <c:v>8.5703406075227639E-3</c:v>
                </c:pt>
                <c:pt idx="12" formatCode="0.00">
                  <c:v>8.3706533401739502E-3</c:v>
                </c:pt>
                <c:pt idx="13" formatCode="0.00">
                  <c:v>8.170966072825081E-3</c:v>
                </c:pt>
                <c:pt idx="14" formatCode="0.00">
                  <c:v>7.9712788054762673E-3</c:v>
                </c:pt>
                <c:pt idx="15" formatCode="0.00">
                  <c:v>7.7715915381273981E-3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D1D-416C-84E0-940639304E27}"/>
            </c:ext>
          </c:extLst>
        </c:ser>
        <c:ser>
          <c:idx val="8"/>
          <c:order val="8"/>
          <c:tx>
            <c:strRef>
              <c:f>'Bazis modell FES adatai'!$C$101</c:f>
              <c:strCache>
                <c:ptCount val="1"/>
                <c:pt idx="0">
                  <c:v>Összeszerelők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adatai'!$D$101:$S$101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9.8851881692367579E-3</c:v>
                </c:pt>
                <c:pt idx="2">
                  <c:v>1.0016576451903146E-2</c:v>
                </c:pt>
                <c:pt idx="3">
                  <c:v>1.034743973451482E-2</c:v>
                </c:pt>
                <c:pt idx="4">
                  <c:v>1.0083159247100654E-2</c:v>
                </c:pt>
                <c:pt idx="5">
                  <c:v>9.5703727273815601E-3</c:v>
                </c:pt>
                <c:pt idx="6">
                  <c:v>1.0358938034799012E-2</c:v>
                </c:pt>
                <c:pt idx="7">
                  <c:v>1.0245336698838998E-2</c:v>
                </c:pt>
                <c:pt idx="8">
                  <c:v>1.0061802505249406E-2</c:v>
                </c:pt>
                <c:pt idx="9">
                  <c:v>1.0172984372979893E-2</c:v>
                </c:pt>
                <c:pt idx="10" formatCode="0.00">
                  <c:v>1.019562496783586E-2</c:v>
                </c:pt>
                <c:pt idx="11" formatCode="0.00">
                  <c:v>1.0218265562691828E-2</c:v>
                </c:pt>
                <c:pt idx="12" formatCode="0.00">
                  <c:v>1.0240906157547795E-2</c:v>
                </c:pt>
                <c:pt idx="13" formatCode="0.00">
                  <c:v>1.0263546752403763E-2</c:v>
                </c:pt>
                <c:pt idx="14" formatCode="0.00">
                  <c:v>1.028618734725973E-2</c:v>
                </c:pt>
                <c:pt idx="15" formatCode="0.00">
                  <c:v>1.0308827942115698E-2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D1D-416C-84E0-940639304E27}"/>
            </c:ext>
          </c:extLst>
        </c:ser>
        <c:ser>
          <c:idx val="9"/>
          <c:order val="9"/>
          <c:tx>
            <c:strRef>
              <c:f>'Bazis modell FES adatai'!$C$102</c:f>
              <c:strCache>
                <c:ptCount val="1"/>
                <c:pt idx="0">
                  <c:v>szakképzetlen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adatai'!$D$102:$S$102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2.8095486215345771E-3</c:v>
                </c:pt>
                <c:pt idx="2">
                  <c:v>2.6049814861067145E-3</c:v>
                </c:pt>
                <c:pt idx="3">
                  <c:v>2.5408159200560327E-3</c:v>
                </c:pt>
                <c:pt idx="4">
                  <c:v>2.4467501113814094E-3</c:v>
                </c:pt>
                <c:pt idx="5">
                  <c:v>2.3407384411634883E-3</c:v>
                </c:pt>
                <c:pt idx="6">
                  <c:v>2.2847742142235021E-3</c:v>
                </c:pt>
                <c:pt idx="7">
                  <c:v>2.4044519321862246E-3</c:v>
                </c:pt>
                <c:pt idx="8">
                  <c:v>2.4150182822715821E-3</c:v>
                </c:pt>
                <c:pt idx="9">
                  <c:v>2.2323939690355038E-3</c:v>
                </c:pt>
                <c:pt idx="10" formatCode="0.00">
                  <c:v>2.1771737674621816E-3</c:v>
                </c:pt>
                <c:pt idx="11" formatCode="0.00">
                  <c:v>2.1219535658888594E-3</c:v>
                </c:pt>
                <c:pt idx="12" formatCode="0.00">
                  <c:v>2.0667333643155372E-3</c:v>
                </c:pt>
                <c:pt idx="13" formatCode="0.00">
                  <c:v>2.011513162742215E-3</c:v>
                </c:pt>
                <c:pt idx="14" formatCode="0.00">
                  <c:v>1.9562929611688928E-3</c:v>
                </c:pt>
                <c:pt idx="15" formatCode="0.00">
                  <c:v>1.9010727595955706E-3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D1D-416C-84E0-940639304E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69193807"/>
        <c:axId val="1469200463"/>
      </c:lineChart>
      <c:catAx>
        <c:axId val="1469193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469200463"/>
        <c:crosses val="autoZero"/>
        <c:auto val="1"/>
        <c:lblAlgn val="ctr"/>
        <c:lblOffset val="100"/>
        <c:noMultiLvlLbl val="0"/>
      </c:catAx>
      <c:valAx>
        <c:axId val="14692004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4691938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1400">
          <a:solidFill>
            <a:sysClr val="windowText" lastClr="000000"/>
          </a:solidFill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'Bazis modell FES adatai'!$D$92</c:f>
          <c:strCache>
            <c:ptCount val="1"/>
            <c:pt idx="0">
              <c:v>Gyártás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'Bazis modell FES adatai'!$C$106</c:f>
              <c:strCache>
                <c:ptCount val="1"/>
                <c:pt idx="0">
                  <c:v>0-7 osztály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adatai'!$D$106:$S$106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8.8285955548050664E-5</c:v>
                </c:pt>
                <c:pt idx="2">
                  <c:v>6.6248088398070229E-5</c:v>
                </c:pt>
                <c:pt idx="3">
                  <c:v>6.9799519370407738E-5</c:v>
                </c:pt>
                <c:pt idx="4">
                  <c:v>7.2763939402353996E-5</c:v>
                </c:pt>
                <c:pt idx="5">
                  <c:v>6.7058479356992923E-5</c:v>
                </c:pt>
                <c:pt idx="6">
                  <c:v>6.0268915989757561E-5</c:v>
                </c:pt>
                <c:pt idx="7">
                  <c:v>5.8822821895518048E-5</c:v>
                </c:pt>
                <c:pt idx="8">
                  <c:v>6.5987036835920494E-5</c:v>
                </c:pt>
                <c:pt idx="9">
                  <c:v>5.6465985652224236E-5</c:v>
                </c:pt>
                <c:pt idx="10" formatCode="0.00">
                  <c:v>5.3757461441688442E-5</c:v>
                </c:pt>
                <c:pt idx="11" formatCode="0.00">
                  <c:v>5.1048937231152648E-5</c:v>
                </c:pt>
                <c:pt idx="12" formatCode="0.00">
                  <c:v>4.8340413020617722E-5</c:v>
                </c:pt>
                <c:pt idx="13" formatCode="0.00">
                  <c:v>4.5631888810081928E-5</c:v>
                </c:pt>
                <c:pt idx="14" formatCode="0.00">
                  <c:v>4.2923364599546134E-5</c:v>
                </c:pt>
                <c:pt idx="15" formatCode="0.00">
                  <c:v>4.0214840389011207E-5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18-4288-9B2B-F4DFB0C22B93}"/>
            </c:ext>
          </c:extLst>
        </c:ser>
        <c:ser>
          <c:idx val="1"/>
          <c:order val="1"/>
          <c:tx>
            <c:strRef>
              <c:f>'Bazis modell FES adatai'!$C$107</c:f>
              <c:strCache>
                <c:ptCount val="1"/>
                <c:pt idx="0">
                  <c:v>8 osztály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adatai'!$D$107:$S$107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4.6591429095044342E-3</c:v>
                </c:pt>
                <c:pt idx="2">
                  <c:v>4.335190353184813E-3</c:v>
                </c:pt>
                <c:pt idx="3">
                  <c:v>4.3019038994235653E-3</c:v>
                </c:pt>
                <c:pt idx="4">
                  <c:v>4.3356509478268638E-3</c:v>
                </c:pt>
                <c:pt idx="5">
                  <c:v>4.1701991850129965E-3</c:v>
                </c:pt>
                <c:pt idx="6">
                  <c:v>4.1489062906880057E-3</c:v>
                </c:pt>
                <c:pt idx="7">
                  <c:v>4.158595855195321E-3</c:v>
                </c:pt>
                <c:pt idx="8">
                  <c:v>4.2131835301750884E-3</c:v>
                </c:pt>
                <c:pt idx="9">
                  <c:v>4.0423573677545871E-3</c:v>
                </c:pt>
                <c:pt idx="10" formatCode="0.00">
                  <c:v>3.9872486447275202E-3</c:v>
                </c:pt>
                <c:pt idx="11" formatCode="0.00">
                  <c:v>3.9321399217004532E-3</c:v>
                </c:pt>
                <c:pt idx="12" formatCode="0.00">
                  <c:v>3.8770311986734002E-3</c:v>
                </c:pt>
                <c:pt idx="13" formatCode="0.00">
                  <c:v>3.8219224756463333E-3</c:v>
                </c:pt>
                <c:pt idx="14" formatCode="0.00">
                  <c:v>3.7668137526192663E-3</c:v>
                </c:pt>
                <c:pt idx="15" formatCode="0.00">
                  <c:v>3.7117050295921994E-3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118-4288-9B2B-F4DFB0C22B93}"/>
            </c:ext>
          </c:extLst>
        </c:ser>
        <c:ser>
          <c:idx val="2"/>
          <c:order val="2"/>
          <c:tx>
            <c:strRef>
              <c:f>'Bazis modell FES adatai'!$C$108</c:f>
              <c:strCache>
                <c:ptCount val="1"/>
                <c:pt idx="0">
                  <c:v>szakiskola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adatai'!$D$108:$S$108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1.4281725524542592E-2</c:v>
                </c:pt>
                <c:pt idx="2">
                  <c:v>1.397923540444776E-2</c:v>
                </c:pt>
                <c:pt idx="3">
                  <c:v>1.4402690722676796E-2</c:v>
                </c:pt>
                <c:pt idx="4">
                  <c:v>1.3783617909887934E-2</c:v>
                </c:pt>
                <c:pt idx="5">
                  <c:v>1.2614577085047112E-2</c:v>
                </c:pt>
                <c:pt idx="6">
                  <c:v>1.2901352930700391E-2</c:v>
                </c:pt>
                <c:pt idx="7">
                  <c:v>1.3053554007492611E-2</c:v>
                </c:pt>
                <c:pt idx="8">
                  <c:v>1.2712676359485253E-2</c:v>
                </c:pt>
                <c:pt idx="9">
                  <c:v>1.2325921314055743E-2</c:v>
                </c:pt>
                <c:pt idx="10" formatCode="0.00">
                  <c:v>1.2072530774282497E-2</c:v>
                </c:pt>
                <c:pt idx="11" formatCode="0.00">
                  <c:v>1.1819140234509362E-2</c:v>
                </c:pt>
                <c:pt idx="12" formatCode="0.00">
                  <c:v>1.1565749694736227E-2</c:v>
                </c:pt>
                <c:pt idx="13" formatCode="0.00">
                  <c:v>1.1312359154962981E-2</c:v>
                </c:pt>
                <c:pt idx="14" formatCode="0.00">
                  <c:v>1.1058968615189846E-2</c:v>
                </c:pt>
                <c:pt idx="15" formatCode="0.00">
                  <c:v>1.08055780754166E-2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118-4288-9B2B-F4DFB0C22B93}"/>
            </c:ext>
          </c:extLst>
        </c:ser>
        <c:ser>
          <c:idx val="3"/>
          <c:order val="3"/>
          <c:tx>
            <c:strRef>
              <c:f>'Bazis modell FES adatai'!$C$109</c:f>
              <c:strCache>
                <c:ptCount val="1"/>
                <c:pt idx="0">
                  <c:v>Gimnázium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adatai'!$D$109:$S$109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2.7655112209064368E-3</c:v>
                </c:pt>
                <c:pt idx="2">
                  <c:v>2.8415097408042481E-3</c:v>
                </c:pt>
                <c:pt idx="3">
                  <c:v>3.1928287387598241E-3</c:v>
                </c:pt>
                <c:pt idx="4">
                  <c:v>3.2620297292248793E-3</c:v>
                </c:pt>
                <c:pt idx="5">
                  <c:v>3.4764982274894654E-3</c:v>
                </c:pt>
                <c:pt idx="6">
                  <c:v>4.147098433424274E-3</c:v>
                </c:pt>
                <c:pt idx="7">
                  <c:v>3.7608509353313315E-3</c:v>
                </c:pt>
                <c:pt idx="8">
                  <c:v>3.6872661068278155E-3</c:v>
                </c:pt>
                <c:pt idx="9">
                  <c:v>4.1484634856858715E-3</c:v>
                </c:pt>
                <c:pt idx="10" formatCode="0.00">
                  <c:v>4.3166333399280443E-3</c:v>
                </c:pt>
                <c:pt idx="11" formatCode="0.00">
                  <c:v>4.4848031941702171E-3</c:v>
                </c:pt>
                <c:pt idx="12" formatCode="0.00">
                  <c:v>4.6529730484123899E-3</c:v>
                </c:pt>
                <c:pt idx="13" formatCode="0.00">
                  <c:v>4.8211429026545627E-3</c:v>
                </c:pt>
                <c:pt idx="14" formatCode="0.00">
                  <c:v>4.9893127568967355E-3</c:v>
                </c:pt>
                <c:pt idx="15" formatCode="0.00">
                  <c:v>5.1574826111389638E-3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118-4288-9B2B-F4DFB0C22B93}"/>
            </c:ext>
          </c:extLst>
        </c:ser>
        <c:ser>
          <c:idx val="4"/>
          <c:order val="4"/>
          <c:tx>
            <c:strRef>
              <c:f>'Bazis modell FES adatai'!$C$110</c:f>
              <c:strCache>
                <c:ptCount val="1"/>
                <c:pt idx="0">
                  <c:v>Technikum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adatai'!$D$110:$S$110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9.0891599508498826E-3</c:v>
                </c:pt>
                <c:pt idx="2">
                  <c:v>8.976111550869496E-3</c:v>
                </c:pt>
                <c:pt idx="3">
                  <c:v>9.0845640080324287E-3</c:v>
                </c:pt>
                <c:pt idx="4">
                  <c:v>8.9125574117059903E-3</c:v>
                </c:pt>
                <c:pt idx="5">
                  <c:v>8.5016282126294859E-3</c:v>
                </c:pt>
                <c:pt idx="6">
                  <c:v>8.2567784258085163E-3</c:v>
                </c:pt>
                <c:pt idx="7">
                  <c:v>7.91922965930489E-3</c:v>
                </c:pt>
                <c:pt idx="8">
                  <c:v>7.4318270118948915E-3</c:v>
                </c:pt>
                <c:pt idx="9">
                  <c:v>7.4618377801589642E-3</c:v>
                </c:pt>
                <c:pt idx="10" formatCode="0.00">
                  <c:v>7.2263612804416288E-3</c:v>
                </c:pt>
                <c:pt idx="11" formatCode="0.00">
                  <c:v>6.9908847807242935E-3</c:v>
                </c:pt>
                <c:pt idx="12" formatCode="0.00">
                  <c:v>6.7554082810069582E-3</c:v>
                </c:pt>
                <c:pt idx="13" formatCode="0.00">
                  <c:v>6.5199317812896229E-3</c:v>
                </c:pt>
                <c:pt idx="14" formatCode="0.00">
                  <c:v>6.2844552815722876E-3</c:v>
                </c:pt>
                <c:pt idx="15" formatCode="0.00">
                  <c:v>6.0489787818549523E-3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118-4288-9B2B-F4DFB0C22B93}"/>
            </c:ext>
          </c:extLst>
        </c:ser>
        <c:ser>
          <c:idx val="5"/>
          <c:order val="5"/>
          <c:tx>
            <c:strRef>
              <c:f>'Bazis modell FES adatai'!$C$111</c:f>
              <c:strCache>
                <c:ptCount val="1"/>
                <c:pt idx="0">
                  <c:v>Főiskola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adatai'!$D$111:$S$111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3.6702838995551282E-3</c:v>
                </c:pt>
                <c:pt idx="2">
                  <c:v>3.9465413066725663E-3</c:v>
                </c:pt>
                <c:pt idx="3">
                  <c:v>4.2073256739538073E-3</c:v>
                </c:pt>
                <c:pt idx="4">
                  <c:v>3.9882794550256447E-3</c:v>
                </c:pt>
                <c:pt idx="5">
                  <c:v>3.7094529900237611E-3</c:v>
                </c:pt>
                <c:pt idx="6">
                  <c:v>3.9353689176067509E-3</c:v>
                </c:pt>
                <c:pt idx="7">
                  <c:v>3.8767792685502501E-3</c:v>
                </c:pt>
                <c:pt idx="8">
                  <c:v>3.459122584852503E-3</c:v>
                </c:pt>
                <c:pt idx="9">
                  <c:v>3.6926280409100704E-3</c:v>
                </c:pt>
                <c:pt idx="10" formatCode="0.00">
                  <c:v>3.6578466584389624E-3</c:v>
                </c:pt>
                <c:pt idx="11" formatCode="0.00">
                  <c:v>3.6230652759678544E-3</c:v>
                </c:pt>
                <c:pt idx="12" formatCode="0.00">
                  <c:v>3.5882838934967465E-3</c:v>
                </c:pt>
                <c:pt idx="13" formatCode="0.00">
                  <c:v>3.5535025110256385E-3</c:v>
                </c:pt>
                <c:pt idx="14" formatCode="0.00">
                  <c:v>3.5187211285545306E-3</c:v>
                </c:pt>
                <c:pt idx="15" formatCode="0.00">
                  <c:v>3.4839397460834226E-3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118-4288-9B2B-F4DFB0C22B93}"/>
            </c:ext>
          </c:extLst>
        </c:ser>
        <c:ser>
          <c:idx val="6"/>
          <c:order val="6"/>
          <c:tx>
            <c:strRef>
              <c:f>'Bazis modell FES adatai'!$C$112</c:f>
              <c:strCache>
                <c:ptCount val="1"/>
                <c:pt idx="0">
                  <c:v>Egyetem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adatai'!$D$112:$S$112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2.3675557656829354E-3</c:v>
                </c:pt>
                <c:pt idx="2">
                  <c:v>2.7915954813078044E-3</c:v>
                </c:pt>
                <c:pt idx="3">
                  <c:v>2.8972101455944444E-3</c:v>
                </c:pt>
                <c:pt idx="4">
                  <c:v>2.9706094684750634E-3</c:v>
                </c:pt>
                <c:pt idx="5">
                  <c:v>3.0140237211765957E-3</c:v>
                </c:pt>
                <c:pt idx="6">
                  <c:v>2.9041124782242826E-3</c:v>
                </c:pt>
                <c:pt idx="7">
                  <c:v>2.9876861330408798E-3</c:v>
                </c:pt>
                <c:pt idx="8">
                  <c:v>3.1028147788881412E-3</c:v>
                </c:pt>
                <c:pt idx="9">
                  <c:v>3.2111324752108761E-3</c:v>
                </c:pt>
                <c:pt idx="10" formatCode="0.00">
                  <c:v>3.2848394704691197E-3</c:v>
                </c:pt>
                <c:pt idx="11" formatCode="0.00">
                  <c:v>3.3585464657273634E-3</c:v>
                </c:pt>
                <c:pt idx="12" formatCode="0.00">
                  <c:v>3.4322534609856348E-3</c:v>
                </c:pt>
                <c:pt idx="13" formatCode="0.00">
                  <c:v>3.5059604562438784E-3</c:v>
                </c:pt>
                <c:pt idx="14" formatCode="0.00">
                  <c:v>3.5796674515021221E-3</c:v>
                </c:pt>
                <c:pt idx="15" formatCode="0.00">
                  <c:v>3.6533744467603657E-3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118-4288-9B2B-F4DFB0C22B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2015935"/>
        <c:axId val="1332016351"/>
      </c:lineChart>
      <c:catAx>
        <c:axId val="1332015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32016351"/>
        <c:crosses val="autoZero"/>
        <c:auto val="1"/>
        <c:lblAlgn val="ctr"/>
        <c:lblOffset val="100"/>
        <c:noMultiLvlLbl val="0"/>
      </c:catAx>
      <c:valAx>
        <c:axId val="13320163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320159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1400">
          <a:solidFill>
            <a:sysClr val="windowText" lastClr="000000"/>
          </a:solidFill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'Bazis modell FES adatai'!$D$117</c:f>
          <c:strCache>
            <c:ptCount val="1"/>
            <c:pt idx="0">
              <c:v>Downstream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'Bazis modell FES adatai'!$C$118</c:f>
              <c:strCache>
                <c:ptCount val="1"/>
                <c:pt idx="0">
                  <c:v>Fegyveresek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adatai'!$D$116:$S$116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adatai'!$D$118:$S$118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1.0825942576251329E-3</c:v>
                </c:pt>
                <c:pt idx="2">
                  <c:v>1.1262827822974123E-3</c:v>
                </c:pt>
                <c:pt idx="3">
                  <c:v>1.115662043876979E-3</c:v>
                </c:pt>
                <c:pt idx="4">
                  <c:v>1.1710926707865321E-3</c:v>
                </c:pt>
                <c:pt idx="5">
                  <c:v>9.2289587712405098E-4</c:v>
                </c:pt>
                <c:pt idx="6">
                  <c:v>8.5467080913932648E-4</c:v>
                </c:pt>
                <c:pt idx="7">
                  <c:v>1.0027225082715951E-3</c:v>
                </c:pt>
                <c:pt idx="8">
                  <c:v>6.4712397987637621E-4</c:v>
                </c:pt>
                <c:pt idx="9">
                  <c:v>7.3874148332579714E-4</c:v>
                </c:pt>
                <c:pt idx="10" formatCode="0.00">
                  <c:v>6.8282167603715693E-4</c:v>
                </c:pt>
                <c:pt idx="11" formatCode="0.00">
                  <c:v>6.2690186874851672E-4</c:v>
                </c:pt>
                <c:pt idx="12" formatCode="0.00">
                  <c:v>5.7098206145987651E-4</c:v>
                </c:pt>
                <c:pt idx="13" formatCode="0.00">
                  <c:v>5.150622541712363E-4</c:v>
                </c:pt>
                <c:pt idx="14" formatCode="0.00">
                  <c:v>4.5914244688259609E-4</c:v>
                </c:pt>
                <c:pt idx="15" formatCode="0.00">
                  <c:v>4.0322263959395588E-4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F8-4641-9BC1-C4DEDB5BF9CE}"/>
            </c:ext>
          </c:extLst>
        </c:ser>
        <c:ser>
          <c:idx val="1"/>
          <c:order val="1"/>
          <c:tx>
            <c:strRef>
              <c:f>'Bazis modell FES adatai'!$C$119</c:f>
              <c:strCache>
                <c:ptCount val="1"/>
                <c:pt idx="0">
                  <c:v>Vezetők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adatai'!$D$116:$S$116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adatai'!$D$119:$S$119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8.4426931816268848E-3</c:v>
                </c:pt>
                <c:pt idx="2">
                  <c:v>7.5639570066565907E-3</c:v>
                </c:pt>
                <c:pt idx="3">
                  <c:v>7.1825885425274277E-3</c:v>
                </c:pt>
                <c:pt idx="4">
                  <c:v>7.2847134095665768E-3</c:v>
                </c:pt>
                <c:pt idx="5">
                  <c:v>7.2285677344401346E-3</c:v>
                </c:pt>
                <c:pt idx="6">
                  <c:v>6.9164908543821258E-3</c:v>
                </c:pt>
                <c:pt idx="7">
                  <c:v>6.4821079612085337E-3</c:v>
                </c:pt>
                <c:pt idx="8">
                  <c:v>6.3683143565340895E-3</c:v>
                </c:pt>
                <c:pt idx="9">
                  <c:v>6.0702325732364115E-3</c:v>
                </c:pt>
                <c:pt idx="10" formatCode="0.00">
                  <c:v>5.8228000048738404E-3</c:v>
                </c:pt>
                <c:pt idx="11" formatCode="0.00">
                  <c:v>5.5753674365113248E-3</c:v>
                </c:pt>
                <c:pt idx="12" formatCode="0.00">
                  <c:v>5.3279348681487537E-3</c:v>
                </c:pt>
                <c:pt idx="13" formatCode="0.00">
                  <c:v>5.0805022997862936E-3</c:v>
                </c:pt>
                <c:pt idx="14" formatCode="0.00">
                  <c:v>4.8330697314237225E-3</c:v>
                </c:pt>
                <c:pt idx="15" formatCode="0.00">
                  <c:v>4.5856371630612625E-3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1F8-4641-9BC1-C4DEDB5BF9CE}"/>
            </c:ext>
          </c:extLst>
        </c:ser>
        <c:ser>
          <c:idx val="2"/>
          <c:order val="2"/>
          <c:tx>
            <c:strRef>
              <c:f>'Bazis modell FES adatai'!$C$120</c:f>
              <c:strCache>
                <c:ptCount val="1"/>
                <c:pt idx="0">
                  <c:v>Felsőfokúak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adatai'!$D$116:$S$116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adatai'!$D$120:$S$120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3.2773443538188451E-2</c:v>
                </c:pt>
                <c:pt idx="2">
                  <c:v>3.3264002199586466E-2</c:v>
                </c:pt>
                <c:pt idx="3">
                  <c:v>3.1592439062976388E-2</c:v>
                </c:pt>
                <c:pt idx="4">
                  <c:v>3.196715291865642E-2</c:v>
                </c:pt>
                <c:pt idx="5">
                  <c:v>3.1200773713470988E-2</c:v>
                </c:pt>
                <c:pt idx="6">
                  <c:v>2.9805110587224043E-2</c:v>
                </c:pt>
                <c:pt idx="7">
                  <c:v>2.7969998648041006E-2</c:v>
                </c:pt>
                <c:pt idx="8">
                  <c:v>2.8306865190282259E-2</c:v>
                </c:pt>
                <c:pt idx="9">
                  <c:v>2.7438664438079075E-2</c:v>
                </c:pt>
                <c:pt idx="10" formatCode="0.00">
                  <c:v>2.6678373594918314E-2</c:v>
                </c:pt>
                <c:pt idx="11" formatCode="0.00">
                  <c:v>2.5918082751757332E-2</c:v>
                </c:pt>
                <c:pt idx="12" formatCode="0.00">
                  <c:v>2.5157791908596572E-2</c:v>
                </c:pt>
                <c:pt idx="13" formatCode="0.00">
                  <c:v>2.4397501065435589E-2</c:v>
                </c:pt>
                <c:pt idx="14" formatCode="0.00">
                  <c:v>2.3637210222274829E-2</c:v>
                </c:pt>
                <c:pt idx="15" formatCode="0.00">
                  <c:v>2.2876919379113847E-2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1F8-4641-9BC1-C4DEDB5BF9CE}"/>
            </c:ext>
          </c:extLst>
        </c:ser>
        <c:ser>
          <c:idx val="3"/>
          <c:order val="3"/>
          <c:tx>
            <c:strRef>
              <c:f>'Bazis modell FES adatai'!$C$121</c:f>
              <c:strCache>
                <c:ptCount val="1"/>
                <c:pt idx="0">
                  <c:v>Egyéb felső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adatai'!$D$116:$S$116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adatai'!$D$121:$S$121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2.3013586450824273E-2</c:v>
                </c:pt>
                <c:pt idx="2">
                  <c:v>2.5169452383379257E-2</c:v>
                </c:pt>
                <c:pt idx="3">
                  <c:v>2.4577027343007235E-2</c:v>
                </c:pt>
                <c:pt idx="4">
                  <c:v>2.5973482372571494E-2</c:v>
                </c:pt>
                <c:pt idx="5">
                  <c:v>2.5785263911853217E-2</c:v>
                </c:pt>
                <c:pt idx="6">
                  <c:v>2.5160517375036631E-2</c:v>
                </c:pt>
                <c:pt idx="7">
                  <c:v>2.4273612019091794E-2</c:v>
                </c:pt>
                <c:pt idx="8">
                  <c:v>2.2699797165887572E-2</c:v>
                </c:pt>
                <c:pt idx="9">
                  <c:v>2.4307656207315842E-2</c:v>
                </c:pt>
                <c:pt idx="10" formatCode="0.00">
                  <c:v>2.4246781502784601E-2</c:v>
                </c:pt>
                <c:pt idx="11" formatCode="0.00">
                  <c:v>2.4185906798253359E-2</c:v>
                </c:pt>
                <c:pt idx="12" formatCode="0.00">
                  <c:v>2.4125032093722118E-2</c:v>
                </c:pt>
                <c:pt idx="13" formatCode="0.00">
                  <c:v>2.4064157389190877E-2</c:v>
                </c:pt>
                <c:pt idx="14" formatCode="0.00">
                  <c:v>2.4003282684659635E-2</c:v>
                </c:pt>
                <c:pt idx="15" formatCode="0.00">
                  <c:v>2.3942407980128394E-2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1F8-4641-9BC1-C4DEDB5BF9CE}"/>
            </c:ext>
          </c:extLst>
        </c:ser>
        <c:ser>
          <c:idx val="4"/>
          <c:order val="4"/>
          <c:tx>
            <c:strRef>
              <c:f>'Bazis modell FES adatai'!$C$122</c:f>
              <c:strCache>
                <c:ptCount val="1"/>
                <c:pt idx="0">
                  <c:v>Iroda-ügyvitel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adatai'!$D$116:$S$116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adatai'!$D$122:$S$122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7.8347713789789046E-3</c:v>
                </c:pt>
                <c:pt idx="2">
                  <c:v>7.7062818143842178E-3</c:v>
                </c:pt>
                <c:pt idx="3">
                  <c:v>6.7204198134972826E-3</c:v>
                </c:pt>
                <c:pt idx="4">
                  <c:v>7.0193897258668527E-3</c:v>
                </c:pt>
                <c:pt idx="5">
                  <c:v>7.0622601328892351E-3</c:v>
                </c:pt>
                <c:pt idx="6">
                  <c:v>7.1044610612401972E-3</c:v>
                </c:pt>
                <c:pt idx="7">
                  <c:v>6.4625229418571271E-3</c:v>
                </c:pt>
                <c:pt idx="8">
                  <c:v>7.3094289998503099E-3</c:v>
                </c:pt>
                <c:pt idx="9">
                  <c:v>6.6863064371624203E-3</c:v>
                </c:pt>
                <c:pt idx="10" formatCode="0.00">
                  <c:v>6.5827207601828197E-3</c:v>
                </c:pt>
                <c:pt idx="11" formatCode="0.00">
                  <c:v>6.4791350832032468E-3</c:v>
                </c:pt>
                <c:pt idx="12" formatCode="0.00">
                  <c:v>6.3755494062236739E-3</c:v>
                </c:pt>
                <c:pt idx="13" formatCode="0.00">
                  <c:v>6.2719637292441011E-3</c:v>
                </c:pt>
                <c:pt idx="14" formatCode="0.00">
                  <c:v>6.1683780522645282E-3</c:v>
                </c:pt>
                <c:pt idx="15" formatCode="0.00">
                  <c:v>6.0647923752849553E-3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1F8-4641-9BC1-C4DEDB5BF9CE}"/>
            </c:ext>
          </c:extLst>
        </c:ser>
        <c:ser>
          <c:idx val="5"/>
          <c:order val="5"/>
          <c:tx>
            <c:strRef>
              <c:f>'Bazis modell FES adatai'!$C$123</c:f>
              <c:strCache>
                <c:ptCount val="1"/>
                <c:pt idx="0">
                  <c:v>Ker-szolg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adatai'!$D$116:$S$116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adatai'!$D$123:$S$123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4.1174048430285541E-2</c:v>
                </c:pt>
                <c:pt idx="2">
                  <c:v>4.2669662590039258E-2</c:v>
                </c:pt>
                <c:pt idx="3">
                  <c:v>4.0239461189776171E-2</c:v>
                </c:pt>
                <c:pt idx="4">
                  <c:v>4.0103546821590959E-2</c:v>
                </c:pt>
                <c:pt idx="5">
                  <c:v>4.0514988835729661E-2</c:v>
                </c:pt>
                <c:pt idx="6">
                  <c:v>3.9446332778406402E-2</c:v>
                </c:pt>
                <c:pt idx="7">
                  <c:v>3.8227519172313179E-2</c:v>
                </c:pt>
                <c:pt idx="8">
                  <c:v>3.6061730239279957E-2</c:v>
                </c:pt>
                <c:pt idx="9">
                  <c:v>3.659225656187548E-2</c:v>
                </c:pt>
                <c:pt idx="10" formatCode="0.00">
                  <c:v>3.5878388851808385E-2</c:v>
                </c:pt>
                <c:pt idx="11" formatCode="0.00">
                  <c:v>3.516452114174129E-2</c:v>
                </c:pt>
                <c:pt idx="12" formatCode="0.00">
                  <c:v>3.4450653431674194E-2</c:v>
                </c:pt>
                <c:pt idx="13" formatCode="0.00">
                  <c:v>3.3736785721606877E-2</c:v>
                </c:pt>
                <c:pt idx="14" formatCode="0.00">
                  <c:v>3.3022918011539781E-2</c:v>
                </c:pt>
                <c:pt idx="15" formatCode="0.00">
                  <c:v>3.2309050301472686E-2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1F8-4641-9BC1-C4DEDB5BF9CE}"/>
            </c:ext>
          </c:extLst>
        </c:ser>
        <c:ser>
          <c:idx val="6"/>
          <c:order val="6"/>
          <c:tx>
            <c:strRef>
              <c:f>'Bazis modell FES adatai'!$C$124</c:f>
              <c:strCache>
                <c:ptCount val="1"/>
                <c:pt idx="0">
                  <c:v>Mező-erdő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adatai'!$D$116:$S$116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adatai'!$D$124:$S$124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4.3530539106351174E-4</c:v>
                </c:pt>
                <c:pt idx="2">
                  <c:v>5.9365279267522067E-4</c:v>
                </c:pt>
                <c:pt idx="3">
                  <c:v>3.8601039875359834E-4</c:v>
                </c:pt>
                <c:pt idx="4">
                  <c:v>2.4450729179530855E-4</c:v>
                </c:pt>
                <c:pt idx="5">
                  <c:v>3.3071878523582317E-4</c:v>
                </c:pt>
                <c:pt idx="6">
                  <c:v>3.7323122039983273E-4</c:v>
                </c:pt>
                <c:pt idx="7">
                  <c:v>4.0419822038854995E-4</c:v>
                </c:pt>
                <c:pt idx="8">
                  <c:v>2.9607214030501905E-4</c:v>
                </c:pt>
                <c:pt idx="9">
                  <c:v>2.8256747695048351E-4</c:v>
                </c:pt>
                <c:pt idx="10" formatCode="0.00">
                  <c:v>2.6025757625568191E-4</c:v>
                </c:pt>
                <c:pt idx="11" formatCode="0.00">
                  <c:v>2.3794767556088031E-4</c:v>
                </c:pt>
                <c:pt idx="12" formatCode="0.00">
                  <c:v>2.1563777486607177E-4</c:v>
                </c:pt>
                <c:pt idx="13" formatCode="0.00">
                  <c:v>1.9332787417127018E-4</c:v>
                </c:pt>
                <c:pt idx="14" formatCode="0.00">
                  <c:v>1.7101797347646164E-4</c:v>
                </c:pt>
                <c:pt idx="15" formatCode="0.00">
                  <c:v>1.4870807278166004E-4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1F8-4641-9BC1-C4DEDB5BF9CE}"/>
            </c:ext>
          </c:extLst>
        </c:ser>
        <c:ser>
          <c:idx val="7"/>
          <c:order val="7"/>
          <c:tx>
            <c:strRef>
              <c:f>'Bazis modell FES adatai'!$C$125</c:f>
              <c:strCache>
                <c:ptCount val="1"/>
                <c:pt idx="0">
                  <c:v>ipar-épip.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adatai'!$D$116:$S$116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adatai'!$D$125:$S$125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3.5215380698601201E-3</c:v>
                </c:pt>
                <c:pt idx="2">
                  <c:v>3.9775940897463901E-3</c:v>
                </c:pt>
                <c:pt idx="3">
                  <c:v>3.9423655986360858E-3</c:v>
                </c:pt>
                <c:pt idx="4">
                  <c:v>4.1943323425766054E-3</c:v>
                </c:pt>
                <c:pt idx="5">
                  <c:v>4.0051520799875614E-3</c:v>
                </c:pt>
                <c:pt idx="6">
                  <c:v>3.6915149399409587E-3</c:v>
                </c:pt>
                <c:pt idx="7">
                  <c:v>3.7849383506859185E-3</c:v>
                </c:pt>
                <c:pt idx="8">
                  <c:v>3.8668815900443397E-3</c:v>
                </c:pt>
                <c:pt idx="9">
                  <c:v>3.9004892955765008E-3</c:v>
                </c:pt>
                <c:pt idx="10" formatCode="0.00">
                  <c:v>3.9065892206635571E-3</c:v>
                </c:pt>
                <c:pt idx="11" formatCode="0.00">
                  <c:v>3.9126891457506134E-3</c:v>
                </c:pt>
                <c:pt idx="12" formatCode="0.00">
                  <c:v>3.9187890708376697E-3</c:v>
                </c:pt>
                <c:pt idx="13" formatCode="0.00">
                  <c:v>3.9248889959247277E-3</c:v>
                </c:pt>
                <c:pt idx="14" formatCode="0.00">
                  <c:v>3.930988921011784E-3</c:v>
                </c:pt>
                <c:pt idx="15" formatCode="0.00">
                  <c:v>3.9370888460988403E-3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1F8-4641-9BC1-C4DEDB5BF9CE}"/>
            </c:ext>
          </c:extLst>
        </c:ser>
        <c:ser>
          <c:idx val="8"/>
          <c:order val="8"/>
          <c:tx>
            <c:strRef>
              <c:f>'Bazis modell FES adatai'!$C$126</c:f>
              <c:strCache>
                <c:ptCount val="1"/>
                <c:pt idx="0">
                  <c:v>Összeszerelők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adatai'!$D$116:$S$116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adatai'!$D$126:$S$126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2.6133743742302222E-3</c:v>
                </c:pt>
                <c:pt idx="2">
                  <c:v>2.6858367261807484E-3</c:v>
                </c:pt>
                <c:pt idx="3">
                  <c:v>2.7516066646257878E-3</c:v>
                </c:pt>
                <c:pt idx="4">
                  <c:v>2.3560913738698668E-3</c:v>
                </c:pt>
                <c:pt idx="5">
                  <c:v>1.9713675981558954E-3</c:v>
                </c:pt>
                <c:pt idx="6">
                  <c:v>2.1270354819285086E-3</c:v>
                </c:pt>
                <c:pt idx="7">
                  <c:v>1.9649794707237481E-3</c:v>
                </c:pt>
                <c:pt idx="8">
                  <c:v>2.2724703113205353E-3</c:v>
                </c:pt>
                <c:pt idx="9">
                  <c:v>1.9009317479084242E-3</c:v>
                </c:pt>
                <c:pt idx="10" formatCode="0.00">
                  <c:v>1.8027287474148557E-3</c:v>
                </c:pt>
                <c:pt idx="11" formatCode="0.00">
                  <c:v>1.7045257469213149E-3</c:v>
                </c:pt>
                <c:pt idx="12" formatCode="0.00">
                  <c:v>1.6063227464277463E-3</c:v>
                </c:pt>
                <c:pt idx="13" formatCode="0.00">
                  <c:v>1.5081197459342055E-3</c:v>
                </c:pt>
                <c:pt idx="14" formatCode="0.00">
                  <c:v>1.4099167454406369E-3</c:v>
                </c:pt>
                <c:pt idx="15" formatCode="0.00">
                  <c:v>1.3117137449470961E-3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1F8-4641-9BC1-C4DEDB5BF9CE}"/>
            </c:ext>
          </c:extLst>
        </c:ser>
        <c:ser>
          <c:idx val="9"/>
          <c:order val="9"/>
          <c:tx>
            <c:strRef>
              <c:f>'Bazis modell FES adatai'!$C$127</c:f>
              <c:strCache>
                <c:ptCount val="1"/>
                <c:pt idx="0">
                  <c:v>szakképzetlen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adatai'!$D$116:$S$116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adatai'!$D$127:$S$127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1.167423930832592E-2</c:v>
                </c:pt>
                <c:pt idx="2">
                  <c:v>1.196732173136175E-2</c:v>
                </c:pt>
                <c:pt idx="3">
                  <c:v>1.0575305053662399E-2</c:v>
                </c:pt>
                <c:pt idx="4">
                  <c:v>9.6771481561875941E-3</c:v>
                </c:pt>
                <c:pt idx="5">
                  <c:v>9.3628623631684515E-3</c:v>
                </c:pt>
                <c:pt idx="6">
                  <c:v>1.0531670288528243E-2</c:v>
                </c:pt>
                <c:pt idx="7">
                  <c:v>1.0540017281998482E-2</c:v>
                </c:pt>
                <c:pt idx="8">
                  <c:v>9.3176952994222934E-3</c:v>
                </c:pt>
                <c:pt idx="9">
                  <c:v>9.1659152711767167E-3</c:v>
                </c:pt>
                <c:pt idx="10" formatCode="0.00">
                  <c:v>8.8792781235866869E-3</c:v>
                </c:pt>
                <c:pt idx="11" formatCode="0.00">
                  <c:v>8.5926409759965461E-3</c:v>
                </c:pt>
                <c:pt idx="12" formatCode="0.00">
                  <c:v>8.3060038284065163E-3</c:v>
                </c:pt>
                <c:pt idx="13" formatCode="0.00">
                  <c:v>8.0193666808164865E-3</c:v>
                </c:pt>
                <c:pt idx="14" formatCode="0.00">
                  <c:v>7.7327295332264567E-3</c:v>
                </c:pt>
                <c:pt idx="15" formatCode="0.00">
                  <c:v>7.4460923856364269E-3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1F8-4641-9BC1-C4DEDB5BF9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20231839"/>
        <c:axId val="1420224767"/>
      </c:lineChart>
      <c:catAx>
        <c:axId val="14202318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420224767"/>
        <c:crosses val="autoZero"/>
        <c:auto val="1"/>
        <c:lblAlgn val="ctr"/>
        <c:lblOffset val="100"/>
        <c:noMultiLvlLbl val="0"/>
      </c:catAx>
      <c:valAx>
        <c:axId val="14202247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4202318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1400">
          <a:solidFill>
            <a:sysClr val="windowText" lastClr="000000"/>
          </a:solidFill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'Bazis modell FES adatai'!$D$117</c:f>
          <c:strCache>
            <c:ptCount val="1"/>
            <c:pt idx="0">
              <c:v>Downstream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'Bazis modell FES adatai'!$C$131</c:f>
              <c:strCache>
                <c:ptCount val="1"/>
                <c:pt idx="0">
                  <c:v>0-7 osztály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adatai'!$D$116:$S$116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adatai'!$D$131:$S$131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1.4522274038188837E-4</c:v>
                </c:pt>
                <c:pt idx="2">
                  <c:v>1.7158612148294867E-4</c:v>
                </c:pt>
                <c:pt idx="3">
                  <c:v>1.3038023092639873E-4</c:v>
                </c:pt>
                <c:pt idx="4">
                  <c:v>1.3044370172889978E-4</c:v>
                </c:pt>
                <c:pt idx="5">
                  <c:v>1.2145319637306594E-4</c:v>
                </c:pt>
                <c:pt idx="6">
                  <c:v>2.134684968939265E-4</c:v>
                </c:pt>
                <c:pt idx="7">
                  <c:v>2.5369077595653898E-4</c:v>
                </c:pt>
                <c:pt idx="8">
                  <c:v>2.086501119676825E-4</c:v>
                </c:pt>
                <c:pt idx="9">
                  <c:v>2.3051134157187764E-4</c:v>
                </c:pt>
                <c:pt idx="10" formatCode="0.00">
                  <c:v>2.4354454592919947E-4</c:v>
                </c:pt>
                <c:pt idx="11" formatCode="0.00">
                  <c:v>2.5657775028652477E-4</c:v>
                </c:pt>
                <c:pt idx="12" formatCode="0.00">
                  <c:v>2.6961095464385007E-4</c:v>
                </c:pt>
                <c:pt idx="13" formatCode="0.00">
                  <c:v>2.8264415900117537E-4</c:v>
                </c:pt>
                <c:pt idx="14" formatCode="0.00">
                  <c:v>2.956773633584972E-4</c:v>
                </c:pt>
                <c:pt idx="15" formatCode="0.00">
                  <c:v>3.087105677158225E-4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B60-4A09-92C4-D0C584762149}"/>
            </c:ext>
          </c:extLst>
        </c:ser>
        <c:ser>
          <c:idx val="1"/>
          <c:order val="1"/>
          <c:tx>
            <c:strRef>
              <c:f>'Bazis modell FES adatai'!$C$132</c:f>
              <c:strCache>
                <c:ptCount val="1"/>
                <c:pt idx="0">
                  <c:v>8 osztály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adatai'!$D$116:$S$116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adatai'!$D$132:$S$132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9.7779985914718433E-3</c:v>
                </c:pt>
                <c:pt idx="2">
                  <c:v>8.8471026544651287E-3</c:v>
                </c:pt>
                <c:pt idx="3">
                  <c:v>7.9032179464333784E-3</c:v>
                </c:pt>
                <c:pt idx="4">
                  <c:v>7.6836373790134934E-3</c:v>
                </c:pt>
                <c:pt idx="5">
                  <c:v>7.5924326058551652E-3</c:v>
                </c:pt>
                <c:pt idx="6">
                  <c:v>7.9587334595977149E-3</c:v>
                </c:pt>
                <c:pt idx="7">
                  <c:v>7.8194523370755508E-3</c:v>
                </c:pt>
                <c:pt idx="8">
                  <c:v>7.1111144971441843E-3</c:v>
                </c:pt>
                <c:pt idx="9">
                  <c:v>6.8154023366906458E-3</c:v>
                </c:pt>
                <c:pt idx="10" formatCode="0.00">
                  <c:v>6.5328892595369892E-3</c:v>
                </c:pt>
                <c:pt idx="11" formatCode="0.00">
                  <c:v>6.2503761823833326E-3</c:v>
                </c:pt>
                <c:pt idx="12" formatCode="0.00">
                  <c:v>5.967863105229676E-3</c:v>
                </c:pt>
                <c:pt idx="13" formatCode="0.00">
                  <c:v>5.6853500280760194E-3</c:v>
                </c:pt>
                <c:pt idx="14" formatCode="0.00">
                  <c:v>5.4028369509223628E-3</c:v>
                </c:pt>
                <c:pt idx="15" formatCode="0.00">
                  <c:v>5.1203238737687062E-3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B60-4A09-92C4-D0C584762149}"/>
            </c:ext>
          </c:extLst>
        </c:ser>
        <c:ser>
          <c:idx val="2"/>
          <c:order val="2"/>
          <c:tx>
            <c:strRef>
              <c:f>'Bazis modell FES adatai'!$C$133</c:f>
              <c:strCache>
                <c:ptCount val="1"/>
                <c:pt idx="0">
                  <c:v>szakiskola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adatai'!$D$116:$S$116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adatai'!$D$133:$S$133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2.7817003200932267E-2</c:v>
                </c:pt>
                <c:pt idx="2">
                  <c:v>2.8574969269390269E-2</c:v>
                </c:pt>
                <c:pt idx="3">
                  <c:v>2.6872303199390626E-2</c:v>
                </c:pt>
                <c:pt idx="4">
                  <c:v>2.5479007751760048E-2</c:v>
                </c:pt>
                <c:pt idx="5">
                  <c:v>2.4538657750302385E-2</c:v>
                </c:pt>
                <c:pt idx="6">
                  <c:v>2.3930623291588422E-2</c:v>
                </c:pt>
                <c:pt idx="7">
                  <c:v>2.3460185962450131E-2</c:v>
                </c:pt>
                <c:pt idx="8">
                  <c:v>2.3384746604658675E-2</c:v>
                </c:pt>
                <c:pt idx="9">
                  <c:v>2.1951913784158172E-2</c:v>
                </c:pt>
                <c:pt idx="10" formatCode="0.00">
                  <c:v>2.1161853040902567E-2</c:v>
                </c:pt>
                <c:pt idx="11" formatCode="0.00">
                  <c:v>2.037179229764674E-2</c:v>
                </c:pt>
                <c:pt idx="12" formatCode="0.00">
                  <c:v>1.9581731554391135E-2</c:v>
                </c:pt>
                <c:pt idx="13" formatCode="0.00">
                  <c:v>1.8791670811135308E-2</c:v>
                </c:pt>
                <c:pt idx="14" formatCode="0.00">
                  <c:v>1.8001610067879703E-2</c:v>
                </c:pt>
                <c:pt idx="15" formatCode="0.00">
                  <c:v>1.7211549324623876E-2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B60-4A09-92C4-D0C584762149}"/>
            </c:ext>
          </c:extLst>
        </c:ser>
        <c:ser>
          <c:idx val="3"/>
          <c:order val="3"/>
          <c:tx>
            <c:strRef>
              <c:f>'Bazis modell FES adatai'!$C$134</c:f>
              <c:strCache>
                <c:ptCount val="1"/>
                <c:pt idx="0">
                  <c:v>Gimnázium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adatai'!$D$116:$S$116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adatai'!$D$134:$S$134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1.402048003457072E-2</c:v>
                </c:pt>
                <c:pt idx="2">
                  <c:v>1.4453885206904989E-2</c:v>
                </c:pt>
                <c:pt idx="3">
                  <c:v>1.4055767283304148E-2</c:v>
                </c:pt>
                <c:pt idx="4">
                  <c:v>1.5360279085337799E-2</c:v>
                </c:pt>
                <c:pt idx="5">
                  <c:v>1.6981350101443093E-2</c:v>
                </c:pt>
                <c:pt idx="6">
                  <c:v>1.755605078262458E-2</c:v>
                </c:pt>
                <c:pt idx="7">
                  <c:v>1.6563287105017074E-2</c:v>
                </c:pt>
                <c:pt idx="8">
                  <c:v>1.5303879213536041E-2</c:v>
                </c:pt>
                <c:pt idx="9">
                  <c:v>1.7232554061809346E-2</c:v>
                </c:pt>
                <c:pt idx="10" formatCode="0.00">
                  <c:v>1.7609372219635322E-2</c:v>
                </c:pt>
                <c:pt idx="11" formatCode="0.00">
                  <c:v>1.7986190377461297E-2</c:v>
                </c:pt>
                <c:pt idx="12" formatCode="0.00">
                  <c:v>1.8363008535287384E-2</c:v>
                </c:pt>
                <c:pt idx="13" formatCode="0.00">
                  <c:v>1.8739826693113359E-2</c:v>
                </c:pt>
                <c:pt idx="14" formatCode="0.00">
                  <c:v>1.9116644850939335E-2</c:v>
                </c:pt>
                <c:pt idx="15" formatCode="0.00">
                  <c:v>1.949346300876531E-2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B60-4A09-92C4-D0C584762149}"/>
            </c:ext>
          </c:extLst>
        </c:ser>
        <c:ser>
          <c:idx val="4"/>
          <c:order val="4"/>
          <c:tx>
            <c:strRef>
              <c:f>'Bazis modell FES adatai'!$C$135</c:f>
              <c:strCache>
                <c:ptCount val="1"/>
                <c:pt idx="0">
                  <c:v>Technikum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adatai'!$D$116:$S$116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adatai'!$D$135:$S$135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3.45601095702322E-2</c:v>
                </c:pt>
                <c:pt idx="2">
                  <c:v>3.6492932613029765E-2</c:v>
                </c:pt>
                <c:pt idx="3">
                  <c:v>3.3631288671425161E-2</c:v>
                </c:pt>
                <c:pt idx="4">
                  <c:v>3.3585883328469464E-2</c:v>
                </c:pt>
                <c:pt idx="5">
                  <c:v>3.1146107407160502E-2</c:v>
                </c:pt>
                <c:pt idx="6">
                  <c:v>3.0790300768484408E-2</c:v>
                </c:pt>
                <c:pt idx="7">
                  <c:v>2.9840558511852723E-2</c:v>
                </c:pt>
                <c:pt idx="8">
                  <c:v>2.7476714796399147E-2</c:v>
                </c:pt>
                <c:pt idx="9">
                  <c:v>2.7165038375193351E-2</c:v>
                </c:pt>
                <c:pt idx="10" formatCode="0.00">
                  <c:v>2.6048272023373453E-2</c:v>
                </c:pt>
                <c:pt idx="11" formatCode="0.00">
                  <c:v>2.4931505671554E-2</c:v>
                </c:pt>
                <c:pt idx="12" formatCode="0.00">
                  <c:v>2.3814739319734546E-2</c:v>
                </c:pt>
                <c:pt idx="13" formatCode="0.00">
                  <c:v>2.2697972967914648E-2</c:v>
                </c:pt>
                <c:pt idx="14" formatCode="0.00">
                  <c:v>2.1581206616095194E-2</c:v>
                </c:pt>
                <c:pt idx="15" formatCode="0.00">
                  <c:v>2.0464440264275296E-2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B60-4A09-92C4-D0C584762149}"/>
            </c:ext>
          </c:extLst>
        </c:ser>
        <c:ser>
          <c:idx val="5"/>
          <c:order val="5"/>
          <c:tx>
            <c:strRef>
              <c:f>'Bazis modell FES adatai'!$C$136</c:f>
              <c:strCache>
                <c:ptCount val="1"/>
                <c:pt idx="0">
                  <c:v>Főiskola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adatai'!$D$116:$S$116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adatai'!$D$136:$S$136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2.841168170558165E-2</c:v>
                </c:pt>
                <c:pt idx="2">
                  <c:v>3.0269347494374075E-2</c:v>
                </c:pt>
                <c:pt idx="3">
                  <c:v>2.8758216973869422E-2</c:v>
                </c:pt>
                <c:pt idx="4">
                  <c:v>2.9395901953053211E-2</c:v>
                </c:pt>
                <c:pt idx="5">
                  <c:v>2.9497790469825837E-2</c:v>
                </c:pt>
                <c:pt idx="6">
                  <c:v>2.8227642937724583E-2</c:v>
                </c:pt>
                <c:pt idx="7">
                  <c:v>2.5987567934393239E-2</c:v>
                </c:pt>
                <c:pt idx="8">
                  <c:v>2.4864963756055139E-2</c:v>
                </c:pt>
                <c:pt idx="9">
                  <c:v>2.5619902168917852E-2</c:v>
                </c:pt>
                <c:pt idx="10" formatCode="0.00">
                  <c:v>2.5051738394652912E-2</c:v>
                </c:pt>
                <c:pt idx="11" formatCode="0.00">
                  <c:v>2.4483574620387971E-2</c:v>
                </c:pt>
                <c:pt idx="12" formatCode="0.00">
                  <c:v>2.3915410846123031E-2</c:v>
                </c:pt>
                <c:pt idx="13" formatCode="0.00">
                  <c:v>2.3347247071858312E-2</c:v>
                </c:pt>
                <c:pt idx="14" formatCode="0.00">
                  <c:v>2.2779083297593372E-2</c:v>
                </c:pt>
                <c:pt idx="15" formatCode="0.00">
                  <c:v>2.2210919523328432E-2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B60-4A09-92C4-D0C584762149}"/>
            </c:ext>
          </c:extLst>
        </c:ser>
        <c:ser>
          <c:idx val="6"/>
          <c:order val="6"/>
          <c:tx>
            <c:strRef>
              <c:f>'Bazis modell FES adatai'!$C$137</c:f>
              <c:strCache>
                <c:ptCount val="1"/>
                <c:pt idx="0">
                  <c:v>Egyetem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adatai'!$D$116:$S$116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adatai'!$D$137:$S$137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1.7833098537838387E-2</c:v>
                </c:pt>
                <c:pt idx="2">
                  <c:v>1.7914220756660149E-2</c:v>
                </c:pt>
                <c:pt idx="3">
                  <c:v>1.7731711405990225E-2</c:v>
                </c:pt>
                <c:pt idx="4">
                  <c:v>1.8356303884105293E-2</c:v>
                </c:pt>
                <c:pt idx="5">
                  <c:v>1.850705950109497E-2</c:v>
                </c:pt>
                <c:pt idx="6">
                  <c:v>1.7334215659312639E-2</c:v>
                </c:pt>
                <c:pt idx="7">
                  <c:v>1.7187873947834675E-2</c:v>
                </c:pt>
                <c:pt idx="8">
                  <c:v>1.8796310293041886E-2</c:v>
                </c:pt>
                <c:pt idx="9">
                  <c:v>1.8068439424266253E-2</c:v>
                </c:pt>
                <c:pt idx="10" formatCode="0.00">
                  <c:v>1.8093070574495468E-2</c:v>
                </c:pt>
                <c:pt idx="11" formatCode="0.00">
                  <c:v>1.8117701724724683E-2</c:v>
                </c:pt>
                <c:pt idx="12" formatCode="0.00">
                  <c:v>1.8142332874953891E-2</c:v>
                </c:pt>
                <c:pt idx="13" formatCode="0.00">
                  <c:v>1.8166964025183106E-2</c:v>
                </c:pt>
                <c:pt idx="14" formatCode="0.00">
                  <c:v>1.8191595175412321E-2</c:v>
                </c:pt>
                <c:pt idx="15" formatCode="0.00">
                  <c:v>1.8216226325641537E-2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B60-4A09-92C4-D0C5847621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4718239"/>
        <c:axId val="1534718655"/>
      </c:lineChart>
      <c:catAx>
        <c:axId val="15347182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534718655"/>
        <c:crosses val="autoZero"/>
        <c:auto val="1"/>
        <c:lblAlgn val="ctr"/>
        <c:lblOffset val="100"/>
        <c:noMultiLvlLbl val="0"/>
      </c:catAx>
      <c:valAx>
        <c:axId val="15347186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5347182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1400">
          <a:solidFill>
            <a:sysClr val="windowText" lastClr="000000"/>
          </a:solidFill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'Bazis modell FES adatai'!$D$142</c:f>
          <c:strCache>
            <c:ptCount val="1"/>
            <c:pt idx="0">
              <c:v>Összesen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'Bazis modell FES adatai'!$C$143</c:f>
              <c:strCache>
                <c:ptCount val="1"/>
                <c:pt idx="0">
                  <c:v>Fegyveresek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adatai'!$D$141:$S$141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adatai'!$D$143:$S$143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1.8782307516812861E-4</c:v>
                </c:pt>
                <c:pt idx="2">
                  <c:v>1.9559618235376539E-4</c:v>
                </c:pt>
                <c:pt idx="3">
                  <c:v>2.0602116167871761E-4</c:v>
                </c:pt>
                <c:pt idx="4">
                  <c:v>2.1093410553185482E-4</c:v>
                </c:pt>
                <c:pt idx="5">
                  <c:v>1.6118574056460272E-4</c:v>
                </c:pt>
                <c:pt idx="6">
                  <c:v>1.5210329488910988E-4</c:v>
                </c:pt>
                <c:pt idx="7">
                  <c:v>1.7348042804417131E-4</c:v>
                </c:pt>
                <c:pt idx="8">
                  <c:v>1.1154639374168201E-4</c:v>
                </c:pt>
                <c:pt idx="9">
                  <c:v>1.2897821702137144E-4</c:v>
                </c:pt>
                <c:pt idx="10" formatCode="0.00">
                  <c:v>1.1878753241578374E-4</c:v>
                </c:pt>
                <c:pt idx="11" formatCode="0.00">
                  <c:v>1.0859684781019951E-4</c:v>
                </c:pt>
                <c:pt idx="12" formatCode="0.00">
                  <c:v>9.8406163204615288E-5</c:v>
                </c:pt>
                <c:pt idx="13" formatCode="0.00">
                  <c:v>8.8215478599027591E-5</c:v>
                </c:pt>
                <c:pt idx="14" formatCode="0.00">
                  <c:v>7.8024793993443364E-5</c:v>
                </c:pt>
                <c:pt idx="15" formatCode="0.00">
                  <c:v>6.7834109387859137E-5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21-4BFA-B711-C0DDFA591FAA}"/>
            </c:ext>
          </c:extLst>
        </c:ser>
        <c:ser>
          <c:idx val="1"/>
          <c:order val="1"/>
          <c:tx>
            <c:strRef>
              <c:f>'Bazis modell FES adatai'!$C$144</c:f>
              <c:strCache>
                <c:ptCount val="1"/>
                <c:pt idx="0">
                  <c:v>Vezetők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adatai'!$D$141:$S$141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adatai'!$D$144:$S$144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3.3463834627616702E-3</c:v>
                </c:pt>
                <c:pt idx="2">
                  <c:v>3.0074568940924007E-3</c:v>
                </c:pt>
                <c:pt idx="3">
                  <c:v>2.9630042537061368E-3</c:v>
                </c:pt>
                <c:pt idx="4">
                  <c:v>3.0066037053708364E-3</c:v>
                </c:pt>
                <c:pt idx="5">
                  <c:v>2.8292581237905198E-3</c:v>
                </c:pt>
                <c:pt idx="6">
                  <c:v>2.8007282975000092E-3</c:v>
                </c:pt>
                <c:pt idx="7">
                  <c:v>2.6542913432294232E-3</c:v>
                </c:pt>
                <c:pt idx="8">
                  <c:v>2.4280022432798744E-3</c:v>
                </c:pt>
                <c:pt idx="9">
                  <c:v>2.4048944472045974E-3</c:v>
                </c:pt>
                <c:pt idx="10" formatCode="0.00">
                  <c:v>2.2994340931464241E-3</c:v>
                </c:pt>
                <c:pt idx="11" formatCode="0.00">
                  <c:v>2.1939737390882508E-3</c:v>
                </c:pt>
                <c:pt idx="12" formatCode="0.00">
                  <c:v>2.0885133850301052E-3</c:v>
                </c:pt>
                <c:pt idx="13" formatCode="0.00">
                  <c:v>1.9830530309719319E-3</c:v>
                </c:pt>
                <c:pt idx="14" formatCode="0.00">
                  <c:v>1.8775926769137585E-3</c:v>
                </c:pt>
                <c:pt idx="15" formatCode="0.00">
                  <c:v>1.7721323228555852E-3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C21-4BFA-B711-C0DDFA591FAA}"/>
            </c:ext>
          </c:extLst>
        </c:ser>
        <c:ser>
          <c:idx val="2"/>
          <c:order val="2"/>
          <c:tx>
            <c:strRef>
              <c:f>'Bazis modell FES adatai'!$C$145</c:f>
              <c:strCache>
                <c:ptCount val="1"/>
                <c:pt idx="0">
                  <c:v>Felsőfokúak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adatai'!$D$141:$S$141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adatai'!$D$145:$S$145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9.2964699604833993E-3</c:v>
                </c:pt>
                <c:pt idx="2">
                  <c:v>9.8646552462392807E-3</c:v>
                </c:pt>
                <c:pt idx="3">
                  <c:v>1.0141049827193271E-2</c:v>
                </c:pt>
                <c:pt idx="4">
                  <c:v>9.6898175584081807E-3</c:v>
                </c:pt>
                <c:pt idx="5">
                  <c:v>9.5004737977362527E-3</c:v>
                </c:pt>
                <c:pt idx="6">
                  <c:v>9.1480524175938799E-3</c:v>
                </c:pt>
                <c:pt idx="7">
                  <c:v>8.5434143136597987E-3</c:v>
                </c:pt>
                <c:pt idx="8">
                  <c:v>8.4684200963072859E-3</c:v>
                </c:pt>
                <c:pt idx="9">
                  <c:v>8.4973893467598094E-3</c:v>
                </c:pt>
                <c:pt idx="10" formatCode="0.00">
                  <c:v>8.3120216122169466E-3</c:v>
                </c:pt>
                <c:pt idx="11" formatCode="0.00">
                  <c:v>8.1266538776740838E-3</c:v>
                </c:pt>
                <c:pt idx="12" formatCode="0.00">
                  <c:v>7.9412861431312209E-3</c:v>
                </c:pt>
                <c:pt idx="13" formatCode="0.00">
                  <c:v>7.7559184085883581E-3</c:v>
                </c:pt>
                <c:pt idx="14" formatCode="0.00">
                  <c:v>7.5705506740454953E-3</c:v>
                </c:pt>
                <c:pt idx="15" formatCode="0.00">
                  <c:v>7.3851829395026325E-3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C21-4BFA-B711-C0DDFA591FAA}"/>
            </c:ext>
          </c:extLst>
        </c:ser>
        <c:ser>
          <c:idx val="3"/>
          <c:order val="3"/>
          <c:tx>
            <c:strRef>
              <c:f>'Bazis modell FES adatai'!$C$146</c:f>
              <c:strCache>
                <c:ptCount val="1"/>
                <c:pt idx="0">
                  <c:v>Egyéb felső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adatai'!$D$141:$S$141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adatai'!$D$146:$S$146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8.7113306418310325E-3</c:v>
                </c:pt>
                <c:pt idx="2">
                  <c:v>9.2680350183677093E-3</c:v>
                </c:pt>
                <c:pt idx="3">
                  <c:v>9.9640783621872449E-3</c:v>
                </c:pt>
                <c:pt idx="4">
                  <c:v>9.8579155825231513E-3</c:v>
                </c:pt>
                <c:pt idx="5">
                  <c:v>9.46640002893466E-3</c:v>
                </c:pt>
                <c:pt idx="6">
                  <c:v>9.6325011325220939E-3</c:v>
                </c:pt>
                <c:pt idx="7">
                  <c:v>9.362337208116054E-3</c:v>
                </c:pt>
                <c:pt idx="8">
                  <c:v>8.6825431482690524E-3</c:v>
                </c:pt>
                <c:pt idx="9">
                  <c:v>9.3083436002308652E-3</c:v>
                </c:pt>
                <c:pt idx="10" formatCode="0.00">
                  <c:v>9.2950549246501972E-3</c:v>
                </c:pt>
                <c:pt idx="11" formatCode="0.00">
                  <c:v>9.2817662490695292E-3</c:v>
                </c:pt>
                <c:pt idx="12" formatCode="0.00">
                  <c:v>9.2684775734888612E-3</c:v>
                </c:pt>
                <c:pt idx="13" formatCode="0.00">
                  <c:v>9.2551888979081967E-3</c:v>
                </c:pt>
                <c:pt idx="14" formatCode="0.00">
                  <c:v>9.2419002223275287E-3</c:v>
                </c:pt>
                <c:pt idx="15" formatCode="0.00">
                  <c:v>9.2286115467468607E-3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C21-4BFA-B711-C0DDFA591FAA}"/>
            </c:ext>
          </c:extLst>
        </c:ser>
        <c:ser>
          <c:idx val="4"/>
          <c:order val="4"/>
          <c:tx>
            <c:strRef>
              <c:f>'Bazis modell FES adatai'!$C$147</c:f>
              <c:strCache>
                <c:ptCount val="1"/>
                <c:pt idx="0">
                  <c:v>Iroda-ügyvitel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adatai'!$D$141:$S$141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adatai'!$D$147:$S$147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4.1886464712425873E-3</c:v>
                </c:pt>
                <c:pt idx="2">
                  <c:v>4.25335110794122E-3</c:v>
                </c:pt>
                <c:pt idx="3">
                  <c:v>4.1313918028144042E-3</c:v>
                </c:pt>
                <c:pt idx="4">
                  <c:v>4.1607167540775548E-3</c:v>
                </c:pt>
                <c:pt idx="5">
                  <c:v>4.0540168215328258E-3</c:v>
                </c:pt>
                <c:pt idx="6">
                  <c:v>4.030541809040989E-3</c:v>
                </c:pt>
                <c:pt idx="7">
                  <c:v>3.7592207326498017E-3</c:v>
                </c:pt>
                <c:pt idx="8">
                  <c:v>3.8353475605939617E-3</c:v>
                </c:pt>
                <c:pt idx="9">
                  <c:v>3.7648865879404692E-3</c:v>
                </c:pt>
                <c:pt idx="10" formatCode="0.00">
                  <c:v>3.7011604669301978E-3</c:v>
                </c:pt>
                <c:pt idx="11" formatCode="0.00">
                  <c:v>3.6374343459199265E-3</c:v>
                </c:pt>
                <c:pt idx="12" formatCode="0.00">
                  <c:v>3.5737082249096552E-3</c:v>
                </c:pt>
                <c:pt idx="13" formatCode="0.00">
                  <c:v>3.5099821038993839E-3</c:v>
                </c:pt>
                <c:pt idx="14" formatCode="0.00">
                  <c:v>3.4462559828891126E-3</c:v>
                </c:pt>
                <c:pt idx="15" formatCode="0.00">
                  <c:v>3.3825298618788691E-3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C21-4BFA-B711-C0DDFA591FAA}"/>
            </c:ext>
          </c:extLst>
        </c:ser>
        <c:ser>
          <c:idx val="5"/>
          <c:order val="5"/>
          <c:tx>
            <c:strRef>
              <c:f>'Bazis modell FES adatai'!$C$148</c:f>
              <c:strCache>
                <c:ptCount val="1"/>
                <c:pt idx="0">
                  <c:v>Ker-szolg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adatai'!$D$141:$S$141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adatai'!$D$148:$S$148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8.6906590266970715E-3</c:v>
                </c:pt>
                <c:pt idx="2">
                  <c:v>9.2088693677773031E-3</c:v>
                </c:pt>
                <c:pt idx="3">
                  <c:v>9.3379302153330929E-3</c:v>
                </c:pt>
                <c:pt idx="4">
                  <c:v>8.9080175500883263E-3</c:v>
                </c:pt>
                <c:pt idx="5">
                  <c:v>8.6486008355886115E-3</c:v>
                </c:pt>
                <c:pt idx="6">
                  <c:v>8.5867141744192989E-3</c:v>
                </c:pt>
                <c:pt idx="7">
                  <c:v>8.220482529983553E-3</c:v>
                </c:pt>
                <c:pt idx="8">
                  <c:v>7.7142694777493923E-3</c:v>
                </c:pt>
                <c:pt idx="9">
                  <c:v>7.8989218685164841E-3</c:v>
                </c:pt>
                <c:pt idx="10" formatCode="0.00">
                  <c:v>7.7288060843636042E-3</c:v>
                </c:pt>
                <c:pt idx="11" formatCode="0.00">
                  <c:v>7.5586903002107242E-3</c:v>
                </c:pt>
                <c:pt idx="12" formatCode="0.00">
                  <c:v>7.3885745160577887E-3</c:v>
                </c:pt>
                <c:pt idx="13" formatCode="0.00">
                  <c:v>7.2184587319049087E-3</c:v>
                </c:pt>
                <c:pt idx="14" formatCode="0.00">
                  <c:v>7.0483429477520287E-3</c:v>
                </c:pt>
                <c:pt idx="15" formatCode="0.00">
                  <c:v>6.8782271635990933E-3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C21-4BFA-B711-C0DDFA591FAA}"/>
            </c:ext>
          </c:extLst>
        </c:ser>
        <c:ser>
          <c:idx val="6"/>
          <c:order val="6"/>
          <c:tx>
            <c:strRef>
              <c:f>'Bazis modell FES adatai'!$C$149</c:f>
              <c:strCache>
                <c:ptCount val="1"/>
                <c:pt idx="0">
                  <c:v>Mező-erdő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adatai'!$D$141:$S$141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adatai'!$D$149:$S$149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1.5855362826033511E-3</c:v>
                </c:pt>
                <c:pt idx="2">
                  <c:v>1.7213740888795028E-3</c:v>
                </c:pt>
                <c:pt idx="3">
                  <c:v>1.4761231534591288E-3</c:v>
                </c:pt>
                <c:pt idx="4">
                  <c:v>1.3996693377736154E-3</c:v>
                </c:pt>
                <c:pt idx="5">
                  <c:v>1.4569949287982955E-3</c:v>
                </c:pt>
                <c:pt idx="6">
                  <c:v>1.6537393032182389E-3</c:v>
                </c:pt>
                <c:pt idx="7">
                  <c:v>1.5538098324921167E-3</c:v>
                </c:pt>
                <c:pt idx="8">
                  <c:v>1.543363623968485E-3</c:v>
                </c:pt>
                <c:pt idx="9">
                  <c:v>1.5197447553948612E-3</c:v>
                </c:pt>
                <c:pt idx="10" formatCode="0.00">
                  <c:v>1.5132821857272542E-3</c:v>
                </c:pt>
                <c:pt idx="11" formatCode="0.00">
                  <c:v>1.5068196160596473E-3</c:v>
                </c:pt>
                <c:pt idx="12" formatCode="0.00">
                  <c:v>1.500357046392042E-3</c:v>
                </c:pt>
                <c:pt idx="13" formatCode="0.00">
                  <c:v>1.4938944767244351E-3</c:v>
                </c:pt>
                <c:pt idx="14" formatCode="0.00">
                  <c:v>1.4874319070568281E-3</c:v>
                </c:pt>
                <c:pt idx="15" formatCode="0.00">
                  <c:v>1.4809693373892211E-3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C21-4BFA-B711-C0DDFA591FAA}"/>
            </c:ext>
          </c:extLst>
        </c:ser>
        <c:ser>
          <c:idx val="7"/>
          <c:order val="7"/>
          <c:tx>
            <c:strRef>
              <c:f>'Bazis modell FES adatai'!$C$150</c:f>
              <c:strCache>
                <c:ptCount val="1"/>
                <c:pt idx="0">
                  <c:v>ipar-épip.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adatai'!$D$141:$S$141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adatai'!$D$150:$S$150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8.2958701806858173E-3</c:v>
                </c:pt>
                <c:pt idx="2">
                  <c:v>8.1345028709220307E-3</c:v>
                </c:pt>
                <c:pt idx="3">
                  <c:v>8.2282253217454537E-3</c:v>
                </c:pt>
                <c:pt idx="4">
                  <c:v>8.0891946049922274E-3</c:v>
                </c:pt>
                <c:pt idx="5">
                  <c:v>7.9086496412295853E-3</c:v>
                </c:pt>
                <c:pt idx="6">
                  <c:v>7.5960318437157332E-3</c:v>
                </c:pt>
                <c:pt idx="7">
                  <c:v>7.5564984627890779E-3</c:v>
                </c:pt>
                <c:pt idx="8">
                  <c:v>7.3813128951877079E-3</c:v>
                </c:pt>
                <c:pt idx="9">
                  <c:v>7.2897295613904012E-3</c:v>
                </c:pt>
                <c:pt idx="10" formatCode="0.00">
                  <c:v>7.1543837466641613E-3</c:v>
                </c:pt>
                <c:pt idx="11" formatCode="0.00">
                  <c:v>7.0190379319379215E-3</c:v>
                </c:pt>
                <c:pt idx="12" formatCode="0.00">
                  <c:v>6.8836921172116816E-3</c:v>
                </c:pt>
                <c:pt idx="13" formatCode="0.00">
                  <c:v>6.7483463024854973E-3</c:v>
                </c:pt>
                <c:pt idx="14" formatCode="0.00">
                  <c:v>6.6130004877592574E-3</c:v>
                </c:pt>
                <c:pt idx="15" formatCode="0.00">
                  <c:v>6.4776546730330176E-3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C21-4BFA-B711-C0DDFA591FAA}"/>
            </c:ext>
          </c:extLst>
        </c:ser>
        <c:ser>
          <c:idx val="8"/>
          <c:order val="8"/>
          <c:tx>
            <c:strRef>
              <c:f>'Bazis modell FES adatai'!$C$151</c:f>
              <c:strCache>
                <c:ptCount val="1"/>
                <c:pt idx="0">
                  <c:v>Összeszerelők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adatai'!$D$141:$S$141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adatai'!$D$151:$S$151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7.7876916752076661E-3</c:v>
                </c:pt>
                <c:pt idx="2">
                  <c:v>7.9513239737474765E-3</c:v>
                </c:pt>
                <c:pt idx="3">
                  <c:v>8.2375413148223081E-3</c:v>
                </c:pt>
                <c:pt idx="4">
                  <c:v>8.0315010318184835E-3</c:v>
                </c:pt>
                <c:pt idx="5">
                  <c:v>7.6465216180574783E-3</c:v>
                </c:pt>
                <c:pt idx="6">
                  <c:v>8.1352639984024842E-3</c:v>
                </c:pt>
                <c:pt idx="7">
                  <c:v>8.0362245497457852E-3</c:v>
                </c:pt>
                <c:pt idx="8">
                  <c:v>7.932772235055497E-3</c:v>
                </c:pt>
                <c:pt idx="9">
                  <c:v>8.0099401622449606E-3</c:v>
                </c:pt>
                <c:pt idx="10" formatCode="0.00">
                  <c:v>8.0188479650533627E-3</c:v>
                </c:pt>
                <c:pt idx="11" formatCode="0.00">
                  <c:v>8.0277557678617682E-3</c:v>
                </c:pt>
                <c:pt idx="12" formatCode="0.00">
                  <c:v>8.0366635706701703E-3</c:v>
                </c:pt>
                <c:pt idx="13" formatCode="0.00">
                  <c:v>8.0455713734785758E-3</c:v>
                </c:pt>
                <c:pt idx="14" formatCode="0.00">
                  <c:v>8.0544791762869779E-3</c:v>
                </c:pt>
                <c:pt idx="15" formatCode="0.00">
                  <c:v>8.0633869790953799E-3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AC21-4BFA-B711-C0DDFA591FAA}"/>
            </c:ext>
          </c:extLst>
        </c:ser>
        <c:ser>
          <c:idx val="9"/>
          <c:order val="9"/>
          <c:tx>
            <c:strRef>
              <c:f>'Bazis modell FES adatai'!$C$152</c:f>
              <c:strCache>
                <c:ptCount val="1"/>
                <c:pt idx="0">
                  <c:v>szakképzetlen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adatai'!$D$141:$S$141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adatai'!$D$152:$S$152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4.7379185874851567E-3</c:v>
                </c:pt>
                <c:pt idx="2">
                  <c:v>4.7075715692717632E-3</c:v>
                </c:pt>
                <c:pt idx="3">
                  <c:v>4.670763499373556E-3</c:v>
                </c:pt>
                <c:pt idx="4">
                  <c:v>4.4142302567174857E-3</c:v>
                </c:pt>
                <c:pt idx="5">
                  <c:v>4.1985896237867392E-3</c:v>
                </c:pt>
                <c:pt idx="6">
                  <c:v>4.3232694318343715E-3</c:v>
                </c:pt>
                <c:pt idx="7">
                  <c:v>4.3272990606660977E-3</c:v>
                </c:pt>
                <c:pt idx="8">
                  <c:v>4.0669152016391107E-3</c:v>
                </c:pt>
                <c:pt idx="9">
                  <c:v>4.0099352388736076E-3</c:v>
                </c:pt>
                <c:pt idx="10" formatCode="0.00">
                  <c:v>3.9164053688795775E-3</c:v>
                </c:pt>
                <c:pt idx="11" formatCode="0.00">
                  <c:v>3.8228754988855473E-3</c:v>
                </c:pt>
                <c:pt idx="12" formatCode="0.00">
                  <c:v>3.7293456288915172E-3</c:v>
                </c:pt>
                <c:pt idx="13" formatCode="0.00">
                  <c:v>3.6358157588974593E-3</c:v>
                </c:pt>
                <c:pt idx="14" formatCode="0.00">
                  <c:v>3.5422858889034292E-3</c:v>
                </c:pt>
                <c:pt idx="15" formatCode="0.00">
                  <c:v>3.4487560189093991E-3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AC21-4BFA-B711-C0DDFA591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3976591"/>
        <c:axId val="1253971183"/>
      </c:lineChart>
      <c:catAx>
        <c:axId val="12539765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253971183"/>
        <c:crosses val="autoZero"/>
        <c:auto val="1"/>
        <c:lblAlgn val="ctr"/>
        <c:lblOffset val="100"/>
        <c:noMultiLvlLbl val="0"/>
      </c:catAx>
      <c:valAx>
        <c:axId val="12539711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2539765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1400">
          <a:solidFill>
            <a:sysClr val="windowText" lastClr="000000"/>
          </a:solidFill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Peremszámok!$J$2</c:f>
          <c:strCache>
            <c:ptCount val="1"/>
            <c:pt idx="0">
              <c:v>Bruttó hozzáadott érték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Peremszámok!$J$3</c:f>
              <c:strCache>
                <c:ptCount val="1"/>
                <c:pt idx="0">
                  <c:v>Folyó ár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Peremszámok!$J$5:$J$35</c:f>
              <c:numCache>
                <c:formatCode>#,##0</c:formatCode>
                <c:ptCount val="31"/>
                <c:pt idx="0">
                  <c:v>4942722</c:v>
                </c:pt>
                <c:pt idx="1">
                  <c:v>6076238</c:v>
                </c:pt>
                <c:pt idx="2">
                  <c:v>7629846</c:v>
                </c:pt>
                <c:pt idx="3">
                  <c:v>9009577</c:v>
                </c:pt>
                <c:pt idx="4">
                  <c:v>9984353</c:v>
                </c:pt>
                <c:pt idx="5">
                  <c:v>11357758</c:v>
                </c:pt>
                <c:pt idx="6">
                  <c:v>13307856</c:v>
                </c:pt>
                <c:pt idx="7">
                  <c:v>15134489</c:v>
                </c:pt>
                <c:pt idx="8">
                  <c:v>16446137</c:v>
                </c:pt>
                <c:pt idx="9">
                  <c:v>18038637</c:v>
                </c:pt>
                <c:pt idx="10">
                  <c:v>19427334</c:v>
                </c:pt>
                <c:pt idx="11">
                  <c:v>21111703</c:v>
                </c:pt>
                <c:pt idx="12">
                  <c:v>22101834</c:v>
                </c:pt>
                <c:pt idx="13">
                  <c:v>23313590</c:v>
                </c:pt>
                <c:pt idx="14">
                  <c:v>22485632</c:v>
                </c:pt>
                <c:pt idx="15">
                  <c:v>23278960</c:v>
                </c:pt>
                <c:pt idx="16">
                  <c:v>24248459</c:v>
                </c:pt>
                <c:pt idx="17">
                  <c:v>24333154</c:v>
                </c:pt>
                <c:pt idx="18">
                  <c:v>25571146</c:v>
                </c:pt>
                <c:pt idx="19">
                  <c:v>27656184</c:v>
                </c:pt>
                <c:pt idx="20">
                  <c:v>29431865</c:v>
                </c:pt>
                <c:pt idx="21">
                  <c:v>30675148</c:v>
                </c:pt>
                <c:pt idx="22">
                  <c:v>33285449</c:v>
                </c:pt>
                <c:pt idx="23">
                  <c:v>36620653</c:v>
                </c:pt>
                <c:pt idx="24">
                  <c:v>40270141</c:v>
                </c:pt>
                <c:pt idx="25">
                  <c:v>41903949.436459787</c:v>
                </c:pt>
                <c:pt idx="26">
                  <c:v>46596341.954721987</c:v>
                </c:pt>
                <c:pt idx="27">
                  <c:v>51115614.531453975</c:v>
                </c:pt>
                <c:pt idx="28">
                  <c:v>56317096.046832129</c:v>
                </c:pt>
                <c:pt idx="29">
                  <c:v>62319655.870958529</c:v>
                </c:pt>
                <c:pt idx="30">
                  <c:v>69265839.797724783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6C-45E3-AB6B-80D40FF85BE4}"/>
            </c:ext>
          </c:extLst>
        </c:ser>
        <c:ser>
          <c:idx val="3"/>
          <c:order val="3"/>
          <c:tx>
            <c:strRef>
              <c:f>Peremszámok!$N$3</c:f>
              <c:strCache>
                <c:ptCount val="1"/>
                <c:pt idx="0">
                  <c:v>2015 évi ár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Peremszámok!$N$5:$N$35</c:f>
              <c:numCache>
                <c:formatCode>#,##0</c:formatCode>
                <c:ptCount val="31"/>
                <c:pt idx="0">
                  <c:v>18275505.54910282</c:v>
                </c:pt>
                <c:pt idx="1">
                  <c:v>18525915.872263413</c:v>
                </c:pt>
                <c:pt idx="2">
                  <c:v>19090254.266904406</c:v>
                </c:pt>
                <c:pt idx="3">
                  <c:v>19826212.184085935</c:v>
                </c:pt>
                <c:pt idx="4">
                  <c:v>20401045.291869681</c:v>
                </c:pt>
                <c:pt idx="5">
                  <c:v>21298737.193614166</c:v>
                </c:pt>
                <c:pt idx="6">
                  <c:v>22204954.199653283</c:v>
                </c:pt>
                <c:pt idx="7">
                  <c:v>23280774.847980738</c:v>
                </c:pt>
                <c:pt idx="8">
                  <c:v>24273572.287604321</c:v>
                </c:pt>
                <c:pt idx="9">
                  <c:v>25433751.116153661</c:v>
                </c:pt>
                <c:pt idx="10">
                  <c:v>26492330.525409672</c:v>
                </c:pt>
                <c:pt idx="11">
                  <c:v>27551574.610482763</c:v>
                </c:pt>
                <c:pt idx="12">
                  <c:v>27598558.588474814</c:v>
                </c:pt>
                <c:pt idx="13">
                  <c:v>27846509.187653042</c:v>
                </c:pt>
                <c:pt idx="14">
                  <c:v>25961798.645354874</c:v>
                </c:pt>
                <c:pt idx="15">
                  <c:v>26312010.405696284</c:v>
                </c:pt>
                <c:pt idx="16">
                  <c:v>26847703.015490558</c:v>
                </c:pt>
                <c:pt idx="17">
                  <c:v>26474887.066453051</c:v>
                </c:pt>
                <c:pt idx="18">
                  <c:v>27136723.501753431</c:v>
                </c:pt>
                <c:pt idx="19">
                  <c:v>28348683.128874518</c:v>
                </c:pt>
                <c:pt idx="20">
                  <c:v>29431865</c:v>
                </c:pt>
                <c:pt idx="21">
                  <c:v>30086797.000000004</c:v>
                </c:pt>
                <c:pt idx="22">
                  <c:v>31382252.214626379</c:v>
                </c:pt>
                <c:pt idx="23">
                  <c:v>33142473.469247077</c:v>
                </c:pt>
                <c:pt idx="24">
                  <c:v>34705102.368408017</c:v>
                </c:pt>
                <c:pt idx="25">
                  <c:v>34522564.681969166</c:v>
                </c:pt>
                <c:pt idx="26">
                  <c:v>36318706.03267765</c:v>
                </c:pt>
                <c:pt idx="27">
                  <c:v>37492095.626097202</c:v>
                </c:pt>
                <c:pt idx="28">
                  <c:v>38665485.219517231</c:v>
                </c:pt>
                <c:pt idx="29">
                  <c:v>39838874.812936783</c:v>
                </c:pt>
                <c:pt idx="30">
                  <c:v>41012264.406356335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6C-45E3-AB6B-80D40FF85B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634223"/>
        <c:axId val="148630895"/>
      </c:lineChart>
      <c:lineChart>
        <c:grouping val="standard"/>
        <c:varyColors val="0"/>
        <c:ser>
          <c:idx val="1"/>
          <c:order val="1"/>
          <c:tx>
            <c:strRef>
              <c:f>Peremszámok!$L$3</c:f>
              <c:strCache>
                <c:ptCount val="1"/>
                <c:pt idx="0">
                  <c:v>Folyó árak az előző évi árak %-ban (ptpt-1)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Peremszámok!$L$5:$L$35</c:f>
              <c:numCache>
                <c:formatCode>#\ ##0.0000</c:formatCode>
                <c:ptCount val="31"/>
                <c:pt idx="1">
                  <c:v>1.2127137558784675</c:v>
                </c:pt>
                <c:pt idx="2">
                  <c:v>1.2185657590803747</c:v>
                </c:pt>
                <c:pt idx="3">
                  <c:v>1.1370003336703689</c:v>
                </c:pt>
                <c:pt idx="4">
                  <c:v>1.0769681398481705</c:v>
                </c:pt>
                <c:pt idx="5">
                  <c:v>1.0896104228762817</c:v>
                </c:pt>
                <c:pt idx="6">
                  <c:v>1.1238787376783073</c:v>
                </c:pt>
                <c:pt idx="7">
                  <c:v>1.0847061941645926</c:v>
                </c:pt>
                <c:pt idx="8">
                  <c:v>1.0422211381421369</c:v>
                </c:pt>
                <c:pt idx="9">
                  <c:v>1.0467985043809855</c:v>
                </c:pt>
                <c:pt idx="10">
                  <c:v>1.0339504819306862</c:v>
                </c:pt>
                <c:pt idx="11">
                  <c:v>1.0449218272451459</c:v>
                </c:pt>
                <c:pt idx="12">
                  <c:v>1.0451173779849869</c:v>
                </c:pt>
                <c:pt idx="13">
                  <c:v>1.0454336673138747</c:v>
                </c:pt>
                <c:pt idx="14">
                  <c:v>1.0345034111428872</c:v>
                </c:pt>
                <c:pt idx="15">
                  <c:v>1.0215019979856905</c:v>
                </c:pt>
                <c:pt idx="16">
                  <c:v>1.0208630086546899</c:v>
                </c:pt>
                <c:pt idx="17">
                  <c:v>1.0176238555986126</c:v>
                </c:pt>
                <c:pt idx="18">
                  <c:v>1.0252469683999927</c:v>
                </c:pt>
                <c:pt idx="19">
                  <c:v>1.035300882317103</c:v>
                </c:pt>
                <c:pt idx="20">
                  <c:v>1.0250395762797397</c:v>
                </c:pt>
                <c:pt idx="21">
                  <c:v>1.0195551224678385</c:v>
                </c:pt>
                <c:pt idx="22">
                  <c:v>1.0403023996547562</c:v>
                </c:pt>
                <c:pt idx="23">
                  <c:v>1.0417676222575858</c:v>
                </c:pt>
                <c:pt idx="24">
                  <c:v>1.0501435121568223</c:v>
                </c:pt>
                <c:pt idx="25">
                  <c:v>1.0460732212175277</c:v>
                </c:pt>
                <c:pt idx="26">
                  <c:v>1.0569867706415828</c:v>
                </c:pt>
                <c:pt idx="27">
                  <c:v>1.0626553025375465</c:v>
                </c:pt>
                <c:pt idx="28">
                  <c:v>1.0683238344335102</c:v>
                </c:pt>
                <c:pt idx="29">
                  <c:v>1.0739923663294739</c:v>
                </c:pt>
                <c:pt idx="30">
                  <c:v>1.0796608982254376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36C-45E3-AB6B-80D40FF85BE4}"/>
            </c:ext>
          </c:extLst>
        </c:ser>
        <c:ser>
          <c:idx val="2"/>
          <c:order val="2"/>
          <c:tx>
            <c:strRef>
              <c:f>Peremszámok!$M$3</c:f>
              <c:strCache>
                <c:ptCount val="1"/>
                <c:pt idx="0">
                  <c:v>Folyó árak a 2015 évi árak %-ban (ptp14)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Peremszámok!$M$5:$M$35</c:f>
              <c:numCache>
                <c:formatCode>#\ ##0.0000</c:formatCode>
                <c:ptCount val="31"/>
                <c:pt idx="0">
                  <c:v>0.27045610238906076</c:v>
                </c:pt>
                <c:pt idx="1">
                  <c:v>0.32798583572848927</c:v>
                </c:pt>
                <c:pt idx="2">
                  <c:v>0.39967230888209759</c:v>
                </c:pt>
                <c:pt idx="3">
                  <c:v>0.45442754855775169</c:v>
                </c:pt>
                <c:pt idx="4">
                  <c:v>0.48940399166600601</c:v>
                </c:pt>
                <c:pt idx="5">
                  <c:v>0.53325969031653708</c:v>
                </c:pt>
                <c:pt idx="6">
                  <c:v>0.59931922760767475</c:v>
                </c:pt>
                <c:pt idx="7">
                  <c:v>0.65008527846798414</c:v>
                </c:pt>
                <c:pt idx="8">
                  <c:v>0.67753261881435045</c:v>
                </c:pt>
                <c:pt idx="9">
                  <c:v>0.70924013204419445</c:v>
                </c:pt>
                <c:pt idx="10">
                  <c:v>0.73331917633167831</c:v>
                </c:pt>
                <c:pt idx="11">
                  <c:v>0.76626121368640265</c:v>
                </c:pt>
                <c:pt idx="12">
                  <c:v>0.80083291049952687</c:v>
                </c:pt>
                <c:pt idx="13">
                  <c:v>0.8372176865291644</c:v>
                </c:pt>
                <c:pt idx="14">
                  <c:v>0.86610455258357699</c:v>
                </c:pt>
                <c:pt idx="15">
                  <c:v>0.88472753092862644</c:v>
                </c:pt>
                <c:pt idx="16">
                  <c:v>0.90318560906343281</c:v>
                </c:pt>
                <c:pt idx="17">
                  <c:v>0.91910322181631166</c:v>
                </c:pt>
                <c:pt idx="18">
                  <c:v>0.94230779181383961</c:v>
                </c:pt>
                <c:pt idx="19">
                  <c:v>0.97557208827914921</c:v>
                </c:pt>
                <c:pt idx="20">
                  <c:v>1</c:v>
                </c:pt>
                <c:pt idx="21">
                  <c:v>1.0195551224678385</c:v>
                </c:pt>
                <c:pt idx="22">
                  <c:v>1.0606456404835913</c:v>
                </c:pt>
                <c:pt idx="23">
                  <c:v>1.1049462869444651</c:v>
                </c:pt>
                <c:pt idx="24">
                  <c:v>1.1603521745165006</c:v>
                </c:pt>
                <c:pt idx="25">
                  <c:v>1.2138133369432387</c:v>
                </c:pt>
                <c:pt idx="26">
                  <c:v>1.2829846391773172</c:v>
                </c:pt>
                <c:pt idx="27">
                  <c:v>1.363370429895997</c:v>
                </c:pt>
                <c:pt idx="28">
                  <c:v>1.4565211254197548</c:v>
                </c:pt>
                <c:pt idx="29">
                  <c:v>1.5642925700984309</c:v>
                </c:pt>
                <c:pt idx="30">
                  <c:v>1.6889055213198503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36C-45E3-AB6B-80D40FF85B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2026671"/>
        <c:axId val="502014191"/>
      </c:lineChart>
      <c:catAx>
        <c:axId val="148634223"/>
        <c:scaling>
          <c:orientation val="minMax"/>
        </c:scaling>
        <c:delete val="0"/>
        <c:axPos val="b"/>
        <c:title>
          <c:tx>
            <c:strRef>
              <c:f>Peremszámok!$B$61</c:f>
              <c:strCache>
                <c:ptCount val="1"/>
                <c:pt idx="0">
                  <c:v>Az 1995 utáni növekedés folytatása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48630895"/>
        <c:crosses val="autoZero"/>
        <c:auto val="1"/>
        <c:lblAlgn val="ctr"/>
        <c:lblOffset val="100"/>
        <c:noMultiLvlLbl val="0"/>
      </c:catAx>
      <c:valAx>
        <c:axId val="1486308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48634223"/>
        <c:crosses val="autoZero"/>
        <c:crossBetween val="between"/>
      </c:valAx>
      <c:valAx>
        <c:axId val="502014191"/>
        <c:scaling>
          <c:orientation val="minMax"/>
        </c:scaling>
        <c:delete val="0"/>
        <c:axPos val="r"/>
        <c:numFmt formatCode="#\ ##0.00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502026671"/>
        <c:crosses val="max"/>
        <c:crossBetween val="between"/>
      </c:valAx>
      <c:catAx>
        <c:axId val="50202667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0201419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'Bazis modell FES adatai'!$D$142</c:f>
          <c:strCache>
            <c:ptCount val="1"/>
            <c:pt idx="0">
              <c:v>Összesen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'Bazis modell FES adatai'!$C$156</c:f>
              <c:strCache>
                <c:ptCount val="1"/>
                <c:pt idx="0">
                  <c:v>0-7 osztály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adatai'!$D$141:$S$141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adatai'!$D$156:$S$156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1.1903730073368397E-4</c:v>
                </c:pt>
                <c:pt idx="2">
                  <c:v>1.1319201348452911E-4</c:v>
                </c:pt>
                <c:pt idx="3">
                  <c:v>1.2203140844322908E-4</c:v>
                </c:pt>
                <c:pt idx="4">
                  <c:v>1.1594581219607107E-4</c:v>
                </c:pt>
                <c:pt idx="5">
                  <c:v>1.1325827580150088E-4</c:v>
                </c:pt>
                <c:pt idx="6">
                  <c:v>1.1054440711918784E-4</c:v>
                </c:pt>
                <c:pt idx="7">
                  <c:v>1.2144814309486893E-4</c:v>
                </c:pt>
                <c:pt idx="8">
                  <c:v>1.1455280164754144E-4</c:v>
                </c:pt>
                <c:pt idx="9">
                  <c:v>1.1479094606946987E-4</c:v>
                </c:pt>
                <c:pt idx="10" formatCode="0.00">
                  <c:v>1.1446642957044608E-4</c:v>
                </c:pt>
                <c:pt idx="11" formatCode="0.00">
                  <c:v>1.141419130714224E-4</c:v>
                </c:pt>
                <c:pt idx="12" formatCode="0.00">
                  <c:v>1.1381739657239862E-4</c:v>
                </c:pt>
                <c:pt idx="13" formatCode="0.00">
                  <c:v>1.1349288007337494E-4</c:v>
                </c:pt>
                <c:pt idx="14" formatCode="0.00">
                  <c:v>1.1316836357435126E-4</c:v>
                </c:pt>
                <c:pt idx="15" formatCode="0.00">
                  <c:v>1.1284384707532747E-4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D8-4359-8BA9-F919BCB4E0F1}"/>
            </c:ext>
          </c:extLst>
        </c:ser>
        <c:ser>
          <c:idx val="1"/>
          <c:order val="1"/>
          <c:tx>
            <c:strRef>
              <c:f>'Bazis modell FES adatai'!$C$157</c:f>
              <c:strCache>
                <c:ptCount val="1"/>
                <c:pt idx="0">
                  <c:v>8 osztály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adatai'!$D$141:$S$141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adatai'!$D$157:$S$157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5.9771546126329931E-3</c:v>
                </c:pt>
                <c:pt idx="2">
                  <c:v>5.7059979081801396E-3</c:v>
                </c:pt>
                <c:pt idx="3">
                  <c:v>5.4381096978186197E-3</c:v>
                </c:pt>
                <c:pt idx="4">
                  <c:v>5.3989618597651964E-3</c:v>
                </c:pt>
                <c:pt idx="5">
                  <c:v>5.2608835571671666E-3</c:v>
                </c:pt>
                <c:pt idx="6">
                  <c:v>5.4016220237676311E-3</c:v>
                </c:pt>
                <c:pt idx="7">
                  <c:v>5.2630906254902739E-3</c:v>
                </c:pt>
                <c:pt idx="8">
                  <c:v>5.0572358634684064E-3</c:v>
                </c:pt>
                <c:pt idx="9">
                  <c:v>4.9610154659102956E-3</c:v>
                </c:pt>
                <c:pt idx="10" formatCode="0.00">
                  <c:v>4.8550451208822787E-3</c:v>
                </c:pt>
                <c:pt idx="11" formatCode="0.00">
                  <c:v>4.7490747758542617E-3</c:v>
                </c:pt>
                <c:pt idx="12" formatCode="0.00">
                  <c:v>4.6431044308262726E-3</c:v>
                </c:pt>
                <c:pt idx="13" formatCode="0.00">
                  <c:v>4.5371340857982556E-3</c:v>
                </c:pt>
                <c:pt idx="14" formatCode="0.00">
                  <c:v>4.4311637407702664E-3</c:v>
                </c:pt>
                <c:pt idx="15" formatCode="0.00">
                  <c:v>4.3251933957422495E-3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9D8-4359-8BA9-F919BCB4E0F1}"/>
            </c:ext>
          </c:extLst>
        </c:ser>
        <c:ser>
          <c:idx val="2"/>
          <c:order val="2"/>
          <c:tx>
            <c:strRef>
              <c:f>'Bazis modell FES adatai'!$C$158</c:f>
              <c:strCache>
                <c:ptCount val="1"/>
                <c:pt idx="0">
                  <c:v>szakiskola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adatai'!$D$141:$S$141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adatai'!$D$158:$S$158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1.6472203821630942E-2</c:v>
                </c:pt>
                <c:pt idx="2">
                  <c:v>1.6589684525675302E-2</c:v>
                </c:pt>
                <c:pt idx="3">
                  <c:v>1.6915607589226583E-2</c:v>
                </c:pt>
                <c:pt idx="4">
                  <c:v>1.59490493296034E-2</c:v>
                </c:pt>
                <c:pt idx="5">
                  <c:v>1.4949388224156923E-2</c:v>
                </c:pt>
                <c:pt idx="6">
                  <c:v>1.4938800250403473E-2</c:v>
                </c:pt>
                <c:pt idx="7">
                  <c:v>1.4882299407255896E-2</c:v>
                </c:pt>
                <c:pt idx="8">
                  <c:v>1.4481000839095256E-2</c:v>
                </c:pt>
                <c:pt idx="9">
                  <c:v>1.4071963377393693E-2</c:v>
                </c:pt>
                <c:pt idx="10" formatCode="0.00">
                  <c:v>1.3721898739396554E-2</c:v>
                </c:pt>
                <c:pt idx="11" formatCode="0.00">
                  <c:v>1.3371834101399416E-2</c:v>
                </c:pt>
                <c:pt idx="12" formatCode="0.00">
                  <c:v>1.3021769463402166E-2</c:v>
                </c:pt>
                <c:pt idx="13" formatCode="0.00">
                  <c:v>1.2671704825405028E-2</c:v>
                </c:pt>
                <c:pt idx="14" formatCode="0.00">
                  <c:v>1.232164018740789E-2</c:v>
                </c:pt>
                <c:pt idx="15" formatCode="0.00">
                  <c:v>1.197157554941064E-2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D8-4359-8BA9-F919BCB4E0F1}"/>
            </c:ext>
          </c:extLst>
        </c:ser>
        <c:ser>
          <c:idx val="3"/>
          <c:order val="3"/>
          <c:tx>
            <c:strRef>
              <c:f>'Bazis modell FES adatai'!$C$159</c:f>
              <c:strCache>
                <c:ptCount val="1"/>
                <c:pt idx="0">
                  <c:v>Gimnázium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adatai'!$D$141:$S$141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adatai'!$D$159:$S$159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5.1566241021759321E-3</c:v>
                </c:pt>
                <c:pt idx="2">
                  <c:v>5.4049824859694487E-3</c:v>
                </c:pt>
                <c:pt idx="3">
                  <c:v>5.8153831148405298E-3</c:v>
                </c:pt>
                <c:pt idx="4">
                  <c:v>5.9505462412386525E-3</c:v>
                </c:pt>
                <c:pt idx="5">
                  <c:v>6.4091307639353333E-3</c:v>
                </c:pt>
                <c:pt idx="6">
                  <c:v>7.1293322371059221E-3</c:v>
                </c:pt>
                <c:pt idx="7">
                  <c:v>6.6561188551724319E-3</c:v>
                </c:pt>
                <c:pt idx="8">
                  <c:v>6.3247027948415604E-3</c:v>
                </c:pt>
                <c:pt idx="9">
                  <c:v>7.1147453199904009E-3</c:v>
                </c:pt>
                <c:pt idx="10" formatCode="0.00">
                  <c:v>7.338943707897172E-3</c:v>
                </c:pt>
                <c:pt idx="11" formatCode="0.00">
                  <c:v>7.5631420958038875E-3</c:v>
                </c:pt>
                <c:pt idx="12" formatCode="0.00">
                  <c:v>7.7873404837106586E-3</c:v>
                </c:pt>
                <c:pt idx="13" formatCode="0.00">
                  <c:v>8.0115388716174296E-3</c:v>
                </c:pt>
                <c:pt idx="14" formatCode="0.00">
                  <c:v>8.2357372595241451E-3</c:v>
                </c:pt>
                <c:pt idx="15" formatCode="0.00">
                  <c:v>8.4599356474309162E-3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9D8-4359-8BA9-F919BCB4E0F1}"/>
            </c:ext>
          </c:extLst>
        </c:ser>
        <c:ser>
          <c:idx val="4"/>
          <c:order val="4"/>
          <c:tx>
            <c:strRef>
              <c:f>'Bazis modell FES adatai'!$C$160</c:f>
              <c:strCache>
                <c:ptCount val="1"/>
                <c:pt idx="0">
                  <c:v>Technikum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adatai'!$D$141:$S$141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adatai'!$D$160:$S$160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1.4222664058486788E-2</c:v>
                </c:pt>
                <c:pt idx="2">
                  <c:v>1.4719143409437313E-2</c:v>
                </c:pt>
                <c:pt idx="3">
                  <c:v>1.4664426215227469E-2</c:v>
                </c:pt>
                <c:pt idx="4">
                  <c:v>1.4161620595683502E-2</c:v>
                </c:pt>
                <c:pt idx="5">
                  <c:v>1.3129236763255602E-2</c:v>
                </c:pt>
                <c:pt idx="6">
                  <c:v>1.2869597751606286E-2</c:v>
                </c:pt>
                <c:pt idx="7">
                  <c:v>1.2445559337365335E-2</c:v>
                </c:pt>
                <c:pt idx="8">
                  <c:v>1.1543950639903504E-2</c:v>
                </c:pt>
                <c:pt idx="9">
                  <c:v>1.1512250729563633E-2</c:v>
                </c:pt>
                <c:pt idx="10" formatCode="0.00">
                  <c:v>1.1077300925828704E-2</c:v>
                </c:pt>
                <c:pt idx="11" formatCode="0.00">
                  <c:v>1.0642351122093774E-2</c:v>
                </c:pt>
                <c:pt idx="12" formatCode="0.00">
                  <c:v>1.0207401318358844E-2</c:v>
                </c:pt>
                <c:pt idx="13" formatCode="0.00">
                  <c:v>9.7724515146239144E-3</c:v>
                </c:pt>
                <c:pt idx="14" formatCode="0.00">
                  <c:v>9.3375017108889846E-3</c:v>
                </c:pt>
                <c:pt idx="15" formatCode="0.00">
                  <c:v>8.9025519071540549E-3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9D8-4359-8BA9-F919BCB4E0F1}"/>
            </c:ext>
          </c:extLst>
        </c:ser>
        <c:ser>
          <c:idx val="5"/>
          <c:order val="5"/>
          <c:tx>
            <c:strRef>
              <c:f>'Bazis modell FES adatai'!$C$161</c:f>
              <c:strCache>
                <c:ptCount val="1"/>
                <c:pt idx="0">
                  <c:v>Főiskola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adatai'!$D$141:$S$141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adatai'!$D$161:$S$161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8.8571396343155688E-3</c:v>
                </c:pt>
                <c:pt idx="2">
                  <c:v>9.5171468269501288E-3</c:v>
                </c:pt>
                <c:pt idx="3">
                  <c:v>9.7800753476240815E-3</c:v>
                </c:pt>
                <c:pt idx="4">
                  <c:v>9.5477956402526595E-3</c:v>
                </c:pt>
                <c:pt idx="5">
                  <c:v>9.3333815540179374E-3</c:v>
                </c:pt>
                <c:pt idx="6">
                  <c:v>9.3245520084957768E-3</c:v>
                </c:pt>
                <c:pt idx="7">
                  <c:v>8.7037353373161843E-3</c:v>
                </c:pt>
                <c:pt idx="8">
                  <c:v>7.98980738092386E-3</c:v>
                </c:pt>
                <c:pt idx="9">
                  <c:v>8.5038809666549975E-3</c:v>
                </c:pt>
                <c:pt idx="10" formatCode="0.00">
                  <c:v>8.3643646889701162E-3</c:v>
                </c:pt>
                <c:pt idx="11" formatCode="0.00">
                  <c:v>8.2248484112852349E-3</c:v>
                </c:pt>
                <c:pt idx="12" formatCode="0.00">
                  <c:v>8.0853321336002981E-3</c:v>
                </c:pt>
                <c:pt idx="13" formatCode="0.00">
                  <c:v>7.9458158559154168E-3</c:v>
                </c:pt>
                <c:pt idx="14" formatCode="0.00">
                  <c:v>7.8062995782305356E-3</c:v>
                </c:pt>
                <c:pt idx="15" formatCode="0.00">
                  <c:v>7.6667833005455988E-3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9D8-4359-8BA9-F919BCB4E0F1}"/>
            </c:ext>
          </c:extLst>
        </c:ser>
        <c:ser>
          <c:idx val="6"/>
          <c:order val="6"/>
          <c:tx>
            <c:strRef>
              <c:f>'Bazis modell FES adatai'!$C$162</c:f>
              <c:strCache>
                <c:ptCount val="1"/>
                <c:pt idx="0">
                  <c:v>Egyetem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adatai'!$D$141:$S$141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adatai'!$D$162:$S$162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6.0235058341899751E-3</c:v>
                </c:pt>
                <c:pt idx="2">
                  <c:v>6.2625891498955914E-3</c:v>
                </c:pt>
                <c:pt idx="3">
                  <c:v>6.6204955391328006E-3</c:v>
                </c:pt>
                <c:pt idx="4">
                  <c:v>6.6446810085622338E-3</c:v>
                </c:pt>
                <c:pt idx="5">
                  <c:v>6.6754120216851124E-3</c:v>
                </c:pt>
                <c:pt idx="6">
                  <c:v>6.2844970246379306E-3</c:v>
                </c:pt>
                <c:pt idx="7">
                  <c:v>6.1148067556808907E-3</c:v>
                </c:pt>
                <c:pt idx="8">
                  <c:v>6.65324255591192E-3</c:v>
                </c:pt>
                <c:pt idx="9">
                  <c:v>6.5541169799951948E-3</c:v>
                </c:pt>
                <c:pt idx="10" formatCode="0.00">
                  <c:v>6.5861643675025477E-3</c:v>
                </c:pt>
                <c:pt idx="11" formatCode="0.00">
                  <c:v>6.6182117550099145E-3</c:v>
                </c:pt>
                <c:pt idx="12" formatCode="0.00">
                  <c:v>6.6502591425172813E-3</c:v>
                </c:pt>
                <c:pt idx="13" formatCode="0.00">
                  <c:v>6.6823065300246343E-3</c:v>
                </c:pt>
                <c:pt idx="14" formatCode="0.00">
                  <c:v>6.7143539175320011E-3</c:v>
                </c:pt>
                <c:pt idx="15" formatCode="0.00">
                  <c:v>6.7464013050393679E-3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9D8-4359-8BA9-F919BCB4E0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11060207"/>
        <c:axId val="1111062287"/>
      </c:lineChart>
      <c:catAx>
        <c:axId val="11110602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111062287"/>
        <c:crosses val="autoZero"/>
        <c:auto val="1"/>
        <c:lblAlgn val="ctr"/>
        <c:lblOffset val="100"/>
        <c:noMultiLvlLbl val="0"/>
      </c:catAx>
      <c:valAx>
        <c:axId val="11110622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1110602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1400">
          <a:solidFill>
            <a:sysClr val="windowText" lastClr="000000"/>
          </a:solidFill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'Bazis modell FES adatai'!$D$67</c:f>
          <c:strCache>
            <c:ptCount val="1"/>
            <c:pt idx="0">
              <c:v>Upstream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'Bazis modell FES adatai'!$C$68</c:f>
              <c:strCache>
                <c:ptCount val="1"/>
                <c:pt idx="0">
                  <c:v>Fegyveresek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adatai'!$D$68:$S$68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9.9519145518636885E-6</c:v>
                </c:pt>
                <c:pt idx="2">
                  <c:v>4.8904703534170599E-6</c:v>
                </c:pt>
                <c:pt idx="3">
                  <c:v>1.0449001280685069E-5</c:v>
                </c:pt>
                <c:pt idx="4">
                  <c:v>1.5830668089002268E-5</c:v>
                </c:pt>
                <c:pt idx="5">
                  <c:v>2.0594125348499527E-6</c:v>
                </c:pt>
                <c:pt idx="6">
                  <c:v>1.1837159577136348E-5</c:v>
                </c:pt>
                <c:pt idx="7">
                  <c:v>2.0477708198741188E-6</c:v>
                </c:pt>
                <c:pt idx="8">
                  <c:v>0</c:v>
                </c:pt>
                <c:pt idx="9">
                  <c:v>2.1252453546627588E-6</c:v>
                </c:pt>
                <c:pt idx="10">
                  <c:v>1.012344399953756E-6</c:v>
                </c:pt>
                <c:pt idx="11">
                  <c:v>-1.0055655475524686E-7</c:v>
                </c:pt>
                <c:pt idx="12">
                  <c:v>-1.2134575094642497E-6</c:v>
                </c:pt>
                <c:pt idx="13">
                  <c:v>-2.3263584641732525E-6</c:v>
                </c:pt>
                <c:pt idx="14">
                  <c:v>-3.4392594188822553E-6</c:v>
                </c:pt>
                <c:pt idx="15">
                  <c:v>-4.5521603735912582E-6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656-4320-8ED5-1FCB95CE8A02}"/>
            </c:ext>
          </c:extLst>
        </c:ser>
        <c:ser>
          <c:idx val="1"/>
          <c:order val="1"/>
          <c:tx>
            <c:strRef>
              <c:f>'Bazis modell FES adatai'!$C$69</c:f>
              <c:strCache>
                <c:ptCount val="1"/>
                <c:pt idx="0">
                  <c:v>Vezetők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adatai'!$D$69:$S$69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3.3168582903528765E-3</c:v>
                </c:pt>
                <c:pt idx="2">
                  <c:v>3.2260476733350974E-3</c:v>
                </c:pt>
                <c:pt idx="3">
                  <c:v>3.2764213044882105E-3</c:v>
                </c:pt>
                <c:pt idx="4">
                  <c:v>3.3988821307756648E-3</c:v>
                </c:pt>
                <c:pt idx="5">
                  <c:v>2.9536452733519738E-3</c:v>
                </c:pt>
                <c:pt idx="6">
                  <c:v>3.0220442476305231E-3</c:v>
                </c:pt>
                <c:pt idx="7">
                  <c:v>3.1276832394429343E-3</c:v>
                </c:pt>
                <c:pt idx="8">
                  <c:v>2.0353698179233601E-3</c:v>
                </c:pt>
                <c:pt idx="9">
                  <c:v>2.4729792022805674E-3</c:v>
                </c:pt>
                <c:pt idx="10">
                  <c:v>2.3459481367512081E-3</c:v>
                </c:pt>
                <c:pt idx="11">
                  <c:v>2.2189170712218487E-3</c:v>
                </c:pt>
                <c:pt idx="12">
                  <c:v>2.0918860056925448E-3</c:v>
                </c:pt>
                <c:pt idx="13">
                  <c:v>1.9648549401631854E-3</c:v>
                </c:pt>
                <c:pt idx="14">
                  <c:v>1.8378238746338815E-3</c:v>
                </c:pt>
                <c:pt idx="15">
                  <c:v>1.7107928091045221E-3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656-4320-8ED5-1FCB95CE8A02}"/>
            </c:ext>
          </c:extLst>
        </c:ser>
        <c:ser>
          <c:idx val="2"/>
          <c:order val="2"/>
          <c:tx>
            <c:strRef>
              <c:f>'Bazis modell FES adatai'!$C$70</c:f>
              <c:strCache>
                <c:ptCount val="1"/>
                <c:pt idx="0">
                  <c:v>Felsőfokúak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adatai'!$D$70:$S$70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9.8682801930336031E-3</c:v>
                </c:pt>
                <c:pt idx="2">
                  <c:v>9.9335233818607319E-3</c:v>
                </c:pt>
                <c:pt idx="3">
                  <c:v>1.1063869210415479E-2</c:v>
                </c:pt>
                <c:pt idx="4">
                  <c:v>9.3366076563250675E-3</c:v>
                </c:pt>
                <c:pt idx="5">
                  <c:v>9.9302186240201873E-3</c:v>
                </c:pt>
                <c:pt idx="6">
                  <c:v>9.0542955833144319E-3</c:v>
                </c:pt>
                <c:pt idx="7">
                  <c:v>8.0225107856044392E-3</c:v>
                </c:pt>
                <c:pt idx="8">
                  <c:v>8.3627100357809691E-3</c:v>
                </c:pt>
                <c:pt idx="9">
                  <c:v>8.0788681483127123E-3</c:v>
                </c:pt>
                <c:pt idx="10">
                  <c:v>7.7749495293167881E-3</c:v>
                </c:pt>
                <c:pt idx="11">
                  <c:v>7.4710309103208639E-3</c:v>
                </c:pt>
                <c:pt idx="12">
                  <c:v>7.1671122913249397E-3</c:v>
                </c:pt>
                <c:pt idx="13">
                  <c:v>6.8631936723290154E-3</c:v>
                </c:pt>
                <c:pt idx="14">
                  <c:v>6.5592750533330912E-3</c:v>
                </c:pt>
                <c:pt idx="15">
                  <c:v>6.255356434337167E-3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656-4320-8ED5-1FCB95CE8A02}"/>
            </c:ext>
          </c:extLst>
        </c:ser>
        <c:ser>
          <c:idx val="3"/>
          <c:order val="3"/>
          <c:tx>
            <c:strRef>
              <c:f>'Bazis modell FES adatai'!$C$71</c:f>
              <c:strCache>
                <c:ptCount val="1"/>
                <c:pt idx="0">
                  <c:v>Egyéb felső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adatai'!$D$71:$S$71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1.0351330814743294E-2</c:v>
                </c:pt>
                <c:pt idx="2">
                  <c:v>1.085987627620499E-2</c:v>
                </c:pt>
                <c:pt idx="3">
                  <c:v>1.2184144172965044E-2</c:v>
                </c:pt>
                <c:pt idx="4">
                  <c:v>1.2281206151046687E-2</c:v>
                </c:pt>
                <c:pt idx="5">
                  <c:v>1.1303846784765105E-2</c:v>
                </c:pt>
                <c:pt idx="6">
                  <c:v>1.2118118041217202E-2</c:v>
                </c:pt>
                <c:pt idx="7">
                  <c:v>1.1549918889086802E-2</c:v>
                </c:pt>
                <c:pt idx="8">
                  <c:v>1.0693392121451763E-2</c:v>
                </c:pt>
                <c:pt idx="9">
                  <c:v>1.1667865109105294E-2</c:v>
                </c:pt>
                <c:pt idx="10">
                  <c:v>1.1723450876365324E-2</c:v>
                </c:pt>
                <c:pt idx="11">
                  <c:v>1.1779036643625368E-2</c:v>
                </c:pt>
                <c:pt idx="12">
                  <c:v>1.1834622410885398E-2</c:v>
                </c:pt>
                <c:pt idx="13">
                  <c:v>1.1890208178145442E-2</c:v>
                </c:pt>
                <c:pt idx="14">
                  <c:v>1.1945793945405486E-2</c:v>
                </c:pt>
                <c:pt idx="15">
                  <c:v>1.2001379712665516E-2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656-4320-8ED5-1FCB95CE8A02}"/>
            </c:ext>
          </c:extLst>
        </c:ser>
        <c:ser>
          <c:idx val="4"/>
          <c:order val="4"/>
          <c:tx>
            <c:strRef>
              <c:f>'Bazis modell FES adatai'!$C$72</c:f>
              <c:strCache>
                <c:ptCount val="1"/>
                <c:pt idx="0">
                  <c:v>Iroda-ügyvitel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adatai'!$D$72:$S$72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9.0614095824440386E-3</c:v>
                </c:pt>
                <c:pt idx="2">
                  <c:v>9.8140002864232183E-3</c:v>
                </c:pt>
                <c:pt idx="3">
                  <c:v>9.4891134154633013E-3</c:v>
                </c:pt>
                <c:pt idx="4">
                  <c:v>8.9443274702862788E-3</c:v>
                </c:pt>
                <c:pt idx="5">
                  <c:v>8.5545310507404194E-3</c:v>
                </c:pt>
                <c:pt idx="6">
                  <c:v>8.3775756148421164E-3</c:v>
                </c:pt>
                <c:pt idx="7">
                  <c:v>8.4533617661059525E-3</c:v>
                </c:pt>
                <c:pt idx="8">
                  <c:v>8.1759466660278387E-3</c:v>
                </c:pt>
                <c:pt idx="9">
                  <c:v>7.9627559366536871E-3</c:v>
                </c:pt>
                <c:pt idx="10">
                  <c:v>7.7636387600119039E-3</c:v>
                </c:pt>
                <c:pt idx="11">
                  <c:v>7.5645215833701207E-3</c:v>
                </c:pt>
                <c:pt idx="12">
                  <c:v>7.3654044067283375E-3</c:v>
                </c:pt>
                <c:pt idx="13">
                  <c:v>7.1662872300866098E-3</c:v>
                </c:pt>
                <c:pt idx="14">
                  <c:v>6.9671700534448266E-3</c:v>
                </c:pt>
                <c:pt idx="15">
                  <c:v>6.7680528768030435E-3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656-4320-8ED5-1FCB95CE8A02}"/>
            </c:ext>
          </c:extLst>
        </c:ser>
        <c:ser>
          <c:idx val="5"/>
          <c:order val="5"/>
          <c:tx>
            <c:strRef>
              <c:f>'Bazis modell FES adatai'!$C$73</c:f>
              <c:strCache>
                <c:ptCount val="1"/>
                <c:pt idx="0">
                  <c:v>Ker-szolg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adatai'!$D$73:$S$73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3.6253676414606507E-3</c:v>
                </c:pt>
                <c:pt idx="2">
                  <c:v>4.8444021226878714E-3</c:v>
                </c:pt>
                <c:pt idx="3">
                  <c:v>5.8332817732104098E-3</c:v>
                </c:pt>
                <c:pt idx="4">
                  <c:v>4.4427639229778493E-3</c:v>
                </c:pt>
                <c:pt idx="5">
                  <c:v>4.2919948019781579E-3</c:v>
                </c:pt>
                <c:pt idx="6">
                  <c:v>4.0902608615290105E-3</c:v>
                </c:pt>
                <c:pt idx="7">
                  <c:v>4.0754734857134716E-3</c:v>
                </c:pt>
                <c:pt idx="8">
                  <c:v>3.5989574283283757E-3</c:v>
                </c:pt>
                <c:pt idx="9">
                  <c:v>3.8462406190477583E-3</c:v>
                </c:pt>
                <c:pt idx="10">
                  <c:v>3.7342245888948855E-3</c:v>
                </c:pt>
                <c:pt idx="11">
                  <c:v>3.6222085587420128E-3</c:v>
                </c:pt>
                <c:pt idx="12">
                  <c:v>3.51019252858914E-3</c:v>
                </c:pt>
                <c:pt idx="13">
                  <c:v>3.3981764984362395E-3</c:v>
                </c:pt>
                <c:pt idx="14">
                  <c:v>3.2861604682833667E-3</c:v>
                </c:pt>
                <c:pt idx="15">
                  <c:v>3.174144438130494E-3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656-4320-8ED5-1FCB95CE8A02}"/>
            </c:ext>
          </c:extLst>
        </c:ser>
        <c:ser>
          <c:idx val="6"/>
          <c:order val="6"/>
          <c:tx>
            <c:strRef>
              <c:f>'Bazis modell FES adatai'!$C$74</c:f>
              <c:strCache>
                <c:ptCount val="1"/>
                <c:pt idx="0">
                  <c:v>Mező-erdő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adatai'!$D$74:$S$74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8.1226761040422823E-3</c:v>
                </c:pt>
                <c:pt idx="2">
                  <c:v>8.8110626263444482E-3</c:v>
                </c:pt>
                <c:pt idx="3">
                  <c:v>7.5612219558697184E-3</c:v>
                </c:pt>
                <c:pt idx="4">
                  <c:v>7.323851285009066E-3</c:v>
                </c:pt>
                <c:pt idx="5">
                  <c:v>7.791653016091654E-3</c:v>
                </c:pt>
                <c:pt idx="6">
                  <c:v>8.990409736773123E-3</c:v>
                </c:pt>
                <c:pt idx="7">
                  <c:v>8.4369795995469597E-3</c:v>
                </c:pt>
                <c:pt idx="8">
                  <c:v>8.1979371755353057E-3</c:v>
                </c:pt>
                <c:pt idx="9">
                  <c:v>8.3372477288438801E-3</c:v>
                </c:pt>
                <c:pt idx="10">
                  <c:v>8.3778641269421639E-3</c:v>
                </c:pt>
                <c:pt idx="11">
                  <c:v>8.4184805250404615E-3</c:v>
                </c:pt>
                <c:pt idx="12">
                  <c:v>8.4590969231387592E-3</c:v>
                </c:pt>
                <c:pt idx="13">
                  <c:v>8.4997133212370429E-3</c:v>
                </c:pt>
                <c:pt idx="14">
                  <c:v>8.5403297193353406E-3</c:v>
                </c:pt>
                <c:pt idx="15">
                  <c:v>8.5809461174336243E-3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656-4320-8ED5-1FCB95CE8A02}"/>
            </c:ext>
          </c:extLst>
        </c:ser>
        <c:ser>
          <c:idx val="7"/>
          <c:order val="7"/>
          <c:tx>
            <c:strRef>
              <c:f>'Bazis modell FES adatai'!$C$75</c:f>
              <c:strCache>
                <c:ptCount val="1"/>
                <c:pt idx="0">
                  <c:v>ipar-épip.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adatai'!$D$75:$S$75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3.7890000826499479E-3</c:v>
                </c:pt>
                <c:pt idx="2">
                  <c:v>4.3342282554194034E-3</c:v>
                </c:pt>
                <c:pt idx="3">
                  <c:v>4.6859205646225636E-3</c:v>
                </c:pt>
                <c:pt idx="4">
                  <c:v>4.258355485774413E-3</c:v>
                </c:pt>
                <c:pt idx="5">
                  <c:v>4.37678887460872E-3</c:v>
                </c:pt>
                <c:pt idx="6">
                  <c:v>4.098529465645393E-3</c:v>
                </c:pt>
                <c:pt idx="7">
                  <c:v>3.7956660808858714E-3</c:v>
                </c:pt>
                <c:pt idx="8">
                  <c:v>3.82081203665725E-3</c:v>
                </c:pt>
                <c:pt idx="9">
                  <c:v>3.9245268681375733E-3</c:v>
                </c:pt>
                <c:pt idx="10">
                  <c:v>3.8755522597719305E-3</c:v>
                </c:pt>
                <c:pt idx="11">
                  <c:v>3.8265776514062877E-3</c:v>
                </c:pt>
                <c:pt idx="12">
                  <c:v>3.7776030430406587E-3</c:v>
                </c:pt>
                <c:pt idx="13">
                  <c:v>3.7286284346750159E-3</c:v>
                </c:pt>
                <c:pt idx="14">
                  <c:v>3.6796538263093731E-3</c:v>
                </c:pt>
                <c:pt idx="15">
                  <c:v>3.6306792179437303E-3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656-4320-8ED5-1FCB95CE8A02}"/>
            </c:ext>
          </c:extLst>
        </c:ser>
        <c:ser>
          <c:idx val="8"/>
          <c:order val="8"/>
          <c:tx>
            <c:strRef>
              <c:f>'Bazis modell FES adatai'!$C$76</c:f>
              <c:strCache>
                <c:ptCount val="1"/>
                <c:pt idx="0">
                  <c:v>Összeszerelők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adatai'!$D$76:$S$76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4.6913707963429727E-3</c:v>
                </c:pt>
                <c:pt idx="2">
                  <c:v>5.1034992420119071E-3</c:v>
                </c:pt>
                <c:pt idx="3">
                  <c:v>5.8479915322948691E-3</c:v>
                </c:pt>
                <c:pt idx="4">
                  <c:v>5.8139070858532777E-3</c:v>
                </c:pt>
                <c:pt idx="5">
                  <c:v>5.8358378857121963E-3</c:v>
                </c:pt>
                <c:pt idx="6">
                  <c:v>5.4912235126583255E-3</c:v>
                </c:pt>
                <c:pt idx="7">
                  <c:v>5.3948931803747633E-3</c:v>
                </c:pt>
                <c:pt idx="8">
                  <c:v>5.1053853101200109E-3</c:v>
                </c:pt>
                <c:pt idx="9">
                  <c:v>5.5876581054497693E-3</c:v>
                </c:pt>
                <c:pt idx="10">
                  <c:v>5.6270235581783734E-3</c:v>
                </c:pt>
                <c:pt idx="11">
                  <c:v>5.6663890109069776E-3</c:v>
                </c:pt>
                <c:pt idx="12">
                  <c:v>5.7057544636355817E-3</c:v>
                </c:pt>
                <c:pt idx="13">
                  <c:v>5.7451199163641858E-3</c:v>
                </c:pt>
                <c:pt idx="14">
                  <c:v>5.78448536909279E-3</c:v>
                </c:pt>
                <c:pt idx="15">
                  <c:v>5.8238508218213941E-3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656-4320-8ED5-1FCB95CE8A02}"/>
            </c:ext>
          </c:extLst>
        </c:ser>
        <c:ser>
          <c:idx val="9"/>
          <c:order val="9"/>
          <c:tx>
            <c:strRef>
              <c:f>'Bazis modell FES adatai'!$C$77</c:f>
              <c:strCache>
                <c:ptCount val="1"/>
                <c:pt idx="0">
                  <c:v>szakképzetlen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adatai'!$D$77:$S$77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5.285614924872525E-3</c:v>
                </c:pt>
                <c:pt idx="2">
                  <c:v>5.6009578863614896E-3</c:v>
                </c:pt>
                <c:pt idx="3">
                  <c:v>6.6627092923451777E-3</c:v>
                </c:pt>
                <c:pt idx="4">
                  <c:v>6.7392473277223391E-3</c:v>
                </c:pt>
                <c:pt idx="5">
                  <c:v>6.290520357536895E-3</c:v>
                </c:pt>
                <c:pt idx="6">
                  <c:v>5.9819434074810801E-3</c:v>
                </c:pt>
                <c:pt idx="7">
                  <c:v>5.6286666971715931E-3</c:v>
                </c:pt>
                <c:pt idx="8">
                  <c:v>5.3273958795092219E-3</c:v>
                </c:pt>
                <c:pt idx="9">
                  <c:v>5.829274084753415E-3</c:v>
                </c:pt>
                <c:pt idx="10">
                  <c:v>5.8047501098930504E-3</c:v>
                </c:pt>
                <c:pt idx="11">
                  <c:v>5.7802261350326928E-3</c:v>
                </c:pt>
                <c:pt idx="12">
                  <c:v>5.7557021601723282E-3</c:v>
                </c:pt>
                <c:pt idx="13">
                  <c:v>5.7311781853119706E-3</c:v>
                </c:pt>
                <c:pt idx="14">
                  <c:v>5.706654210451606E-3</c:v>
                </c:pt>
                <c:pt idx="15">
                  <c:v>5.6821302355912484E-3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E656-4320-8ED5-1FCB95CE8A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7798175"/>
        <c:axId val="1321559903"/>
      </c:lineChart>
      <c:catAx>
        <c:axId val="12577981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21559903"/>
        <c:crosses val="autoZero"/>
        <c:auto val="1"/>
        <c:lblAlgn val="ctr"/>
        <c:lblOffset val="100"/>
        <c:noMultiLvlLbl val="0"/>
      </c:catAx>
      <c:valAx>
        <c:axId val="13215599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2577981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1400">
          <a:solidFill>
            <a:sysClr val="windowText" lastClr="000000"/>
          </a:solidFill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'Bazis modell FES adatai'!$D$67</c:f>
          <c:strCache>
            <c:ptCount val="1"/>
            <c:pt idx="0">
              <c:v>Upstream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'Bazis modell FES adatai'!$C$81</c:f>
              <c:strCache>
                <c:ptCount val="1"/>
                <c:pt idx="0">
                  <c:v>0-7 osztály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adatai'!$D$81:$S$81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2.1683690744733766E-4</c:v>
                </c:pt>
                <c:pt idx="2">
                  <c:v>2.4266513893655449E-4</c:v>
                </c:pt>
                <c:pt idx="3">
                  <c:v>3.2736822459000694E-4</c:v>
                </c:pt>
                <c:pt idx="4">
                  <c:v>2.7854437423268269E-4</c:v>
                </c:pt>
                <c:pt idx="5">
                  <c:v>2.9583908761496715E-4</c:v>
                </c:pt>
                <c:pt idx="6">
                  <c:v>2.062799132192143E-4</c:v>
                </c:pt>
                <c:pt idx="7">
                  <c:v>2.3917963176129709E-4</c:v>
                </c:pt>
                <c:pt idx="8">
                  <c:v>2.1709779598860717E-4</c:v>
                </c:pt>
                <c:pt idx="9">
                  <c:v>2.3360648046575304E-4</c:v>
                </c:pt>
                <c:pt idx="10">
                  <c:v>2.2930205740840162E-4</c:v>
                </c:pt>
                <c:pt idx="11">
                  <c:v>2.249976343510502E-4</c:v>
                </c:pt>
                <c:pt idx="12">
                  <c:v>2.2069321129370052E-4</c:v>
                </c:pt>
                <c:pt idx="13">
                  <c:v>2.1638878823634911E-4</c:v>
                </c:pt>
                <c:pt idx="14">
                  <c:v>2.1208436517899769E-4</c:v>
                </c:pt>
                <c:pt idx="15">
                  <c:v>2.0777994212164627E-4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36B-41C7-9734-19F58B1C5485}"/>
            </c:ext>
          </c:extLst>
        </c:ser>
        <c:ser>
          <c:idx val="1"/>
          <c:order val="1"/>
          <c:tx>
            <c:strRef>
              <c:f>'Bazis modell FES adatai'!$C$82</c:f>
              <c:strCache>
                <c:ptCount val="1"/>
                <c:pt idx="0">
                  <c:v>8 osztály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adatai'!$D$82:$S$82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7.3431732584703438E-3</c:v>
                </c:pt>
                <c:pt idx="2">
                  <c:v>7.9699995349637818E-3</c:v>
                </c:pt>
                <c:pt idx="3">
                  <c:v>7.2858958444543855E-3</c:v>
                </c:pt>
                <c:pt idx="4">
                  <c:v>7.2736266058933624E-3</c:v>
                </c:pt>
                <c:pt idx="5">
                  <c:v>7.2494007416981183E-3</c:v>
                </c:pt>
                <c:pt idx="6">
                  <c:v>7.7952047712346213E-3</c:v>
                </c:pt>
                <c:pt idx="7">
                  <c:v>7.098638502510031E-3</c:v>
                </c:pt>
                <c:pt idx="8">
                  <c:v>6.3847338880614933E-3</c:v>
                </c:pt>
                <c:pt idx="9">
                  <c:v>6.7878245091794187E-3</c:v>
                </c:pt>
                <c:pt idx="10">
                  <c:v>6.6739890349057918E-3</c:v>
                </c:pt>
                <c:pt idx="11">
                  <c:v>6.5601535606321648E-3</c:v>
                </c:pt>
                <c:pt idx="12">
                  <c:v>6.4463180863585379E-3</c:v>
                </c:pt>
                <c:pt idx="13">
                  <c:v>6.3324826120848832E-3</c:v>
                </c:pt>
                <c:pt idx="14">
                  <c:v>6.2186471378112562E-3</c:v>
                </c:pt>
                <c:pt idx="15">
                  <c:v>6.1048116635376293E-3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36B-41C7-9734-19F58B1C5485}"/>
            </c:ext>
          </c:extLst>
        </c:ser>
        <c:ser>
          <c:idx val="2"/>
          <c:order val="2"/>
          <c:tx>
            <c:strRef>
              <c:f>'Bazis modell FES adatai'!$C$83</c:f>
              <c:strCache>
                <c:ptCount val="1"/>
                <c:pt idx="0">
                  <c:v>szakiskola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adatai'!$D$83:$S$83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1.3438242464056475E-2</c:v>
                </c:pt>
                <c:pt idx="2">
                  <c:v>1.4559614907972066E-2</c:v>
                </c:pt>
                <c:pt idx="3">
                  <c:v>1.5835917950642913E-2</c:v>
                </c:pt>
                <c:pt idx="4">
                  <c:v>1.4379806204678646E-2</c:v>
                </c:pt>
                <c:pt idx="5">
                  <c:v>1.4212811760078379E-2</c:v>
                </c:pt>
                <c:pt idx="6">
                  <c:v>1.3552764374378513E-2</c:v>
                </c:pt>
                <c:pt idx="7">
                  <c:v>1.3250961153739834E-2</c:v>
                </c:pt>
                <c:pt idx="8">
                  <c:v>1.2263608076921086E-2</c:v>
                </c:pt>
                <c:pt idx="9">
                  <c:v>1.2769814183638761E-2</c:v>
                </c:pt>
                <c:pt idx="10">
                  <c:v>1.2510502699656589E-2</c:v>
                </c:pt>
                <c:pt idx="11">
                  <c:v>1.2251191215674417E-2</c:v>
                </c:pt>
                <c:pt idx="12">
                  <c:v>1.1991879731692245E-2</c:v>
                </c:pt>
                <c:pt idx="13">
                  <c:v>1.1732568247710073E-2</c:v>
                </c:pt>
                <c:pt idx="14">
                  <c:v>1.1473256763727901E-2</c:v>
                </c:pt>
                <c:pt idx="15">
                  <c:v>1.121394527974573E-2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36B-41C7-9734-19F58B1C5485}"/>
            </c:ext>
          </c:extLst>
        </c:ser>
        <c:ser>
          <c:idx val="3"/>
          <c:order val="3"/>
          <c:tx>
            <c:strRef>
              <c:f>'Bazis modell FES adatai'!$C$84</c:f>
              <c:strCache>
                <c:ptCount val="1"/>
                <c:pt idx="0">
                  <c:v>Gimnázium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adatai'!$D$84:$S$84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5.5582399687019455E-3</c:v>
                </c:pt>
                <c:pt idx="2">
                  <c:v>6.2852324982116056E-3</c:v>
                </c:pt>
                <c:pt idx="3">
                  <c:v>7.1552326051386337E-3</c:v>
                </c:pt>
                <c:pt idx="4">
                  <c:v>6.6777150285430627E-3</c:v>
                </c:pt>
                <c:pt idx="5">
                  <c:v>7.0828569454015567E-3</c:v>
                </c:pt>
                <c:pt idx="6">
                  <c:v>8.0877392810784106E-3</c:v>
                </c:pt>
                <c:pt idx="7">
                  <c:v>8.0216916772764893E-3</c:v>
                </c:pt>
                <c:pt idx="8">
                  <c:v>7.6899720020188597E-3</c:v>
                </c:pt>
                <c:pt idx="9">
                  <c:v>8.5059286832902536E-3</c:v>
                </c:pt>
                <c:pt idx="10">
                  <c:v>8.8250606127333597E-3</c:v>
                </c:pt>
                <c:pt idx="11">
                  <c:v>9.1441925421764658E-3</c:v>
                </c:pt>
                <c:pt idx="12">
                  <c:v>9.4633244716195719E-3</c:v>
                </c:pt>
                <c:pt idx="13">
                  <c:v>9.782456401062678E-3</c:v>
                </c:pt>
                <c:pt idx="14">
                  <c:v>1.0101588330505784E-2</c:v>
                </c:pt>
                <c:pt idx="15">
                  <c:v>1.042072025994889E-2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36B-41C7-9734-19F58B1C5485}"/>
            </c:ext>
          </c:extLst>
        </c:ser>
        <c:ser>
          <c:idx val="4"/>
          <c:order val="4"/>
          <c:tx>
            <c:strRef>
              <c:f>'Bazis modell FES adatai'!$C$85</c:f>
              <c:strCache>
                <c:ptCount val="1"/>
                <c:pt idx="0">
                  <c:v>Technikum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adatai'!$D$85:$S$85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1.370550878466566E-2</c:v>
                </c:pt>
                <c:pt idx="2">
                  <c:v>1.5105489208820478E-2</c:v>
                </c:pt>
                <c:pt idx="3">
                  <c:v>1.5870206906301861E-2</c:v>
                </c:pt>
                <c:pt idx="4">
                  <c:v>1.4418629033563581E-2</c:v>
                </c:pt>
                <c:pt idx="5">
                  <c:v>1.2743465686300651E-2</c:v>
                </c:pt>
                <c:pt idx="6">
                  <c:v>1.2393506077261756E-2</c:v>
                </c:pt>
                <c:pt idx="7">
                  <c:v>1.2531128755137682E-2</c:v>
                </c:pt>
                <c:pt idx="8">
                  <c:v>1.1572466638039252E-2</c:v>
                </c:pt>
                <c:pt idx="9">
                  <c:v>1.1404602111483864E-2</c:v>
                </c:pt>
                <c:pt idx="10">
                  <c:v>1.0929502550422132E-2</c:v>
                </c:pt>
                <c:pt idx="11">
                  <c:v>1.0454402989360401E-2</c:v>
                </c:pt>
                <c:pt idx="12">
                  <c:v>9.9793034282987803E-3</c:v>
                </c:pt>
                <c:pt idx="13">
                  <c:v>9.5042038672370488E-3</c:v>
                </c:pt>
                <c:pt idx="14">
                  <c:v>9.0291043061753173E-3</c:v>
                </c:pt>
                <c:pt idx="15">
                  <c:v>8.5540047451136969E-3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36B-41C7-9734-19F58B1C5485}"/>
            </c:ext>
          </c:extLst>
        </c:ser>
        <c:ser>
          <c:idx val="5"/>
          <c:order val="5"/>
          <c:tx>
            <c:strRef>
              <c:f>'Bazis modell FES adatai'!$C$86</c:f>
              <c:strCache>
                <c:ptCount val="1"/>
                <c:pt idx="0">
                  <c:v>Főiskola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adatai'!$D$86:$S$86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9.3835071245745513E-3</c:v>
                </c:pt>
                <c:pt idx="2">
                  <c:v>1.0280453348732139E-2</c:v>
                </c:pt>
                <c:pt idx="3">
                  <c:v>1.0943654972380413E-2</c:v>
                </c:pt>
                <c:pt idx="4">
                  <c:v>1.0620776374878181E-2</c:v>
                </c:pt>
                <c:pt idx="5">
                  <c:v>1.0744850591066486E-2</c:v>
                </c:pt>
                <c:pt idx="6">
                  <c:v>1.0989845250052361E-2</c:v>
                </c:pt>
                <c:pt idx="7">
                  <c:v>1.015628797991327E-2</c:v>
                </c:pt>
                <c:pt idx="8">
                  <c:v>8.7593190122170535E-3</c:v>
                </c:pt>
                <c:pt idx="9">
                  <c:v>9.9815779791522091E-3</c:v>
                </c:pt>
                <c:pt idx="10">
                  <c:v>9.9252982341356266E-3</c:v>
                </c:pt>
                <c:pt idx="11">
                  <c:v>9.8690184891190441E-3</c:v>
                </c:pt>
                <c:pt idx="12">
                  <c:v>9.8127387441024616E-3</c:v>
                </c:pt>
                <c:pt idx="13">
                  <c:v>9.756458999085893E-3</c:v>
                </c:pt>
                <c:pt idx="14">
                  <c:v>9.7001792540693105E-3</c:v>
                </c:pt>
                <c:pt idx="15">
                  <c:v>9.643899509052728E-3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36B-41C7-9734-19F58B1C5485}"/>
            </c:ext>
          </c:extLst>
        </c:ser>
        <c:ser>
          <c:idx val="6"/>
          <c:order val="6"/>
          <c:tx>
            <c:strRef>
              <c:f>'Bazis modell FES adatai'!$C$87</c:f>
              <c:strCache>
                <c:ptCount val="1"/>
                <c:pt idx="0">
                  <c:v>Egyetem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adatai'!$D$87:$S$87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8.4763518365777463E-3</c:v>
                </c:pt>
                <c:pt idx="2">
                  <c:v>8.0890335833659534E-3</c:v>
                </c:pt>
                <c:pt idx="3">
                  <c:v>9.1968457194472469E-3</c:v>
                </c:pt>
                <c:pt idx="4">
                  <c:v>8.9058815620701309E-3</c:v>
                </c:pt>
                <c:pt idx="5">
                  <c:v>9.0018712691799993E-3</c:v>
                </c:pt>
                <c:pt idx="6">
                  <c:v>8.2108979634434674E-3</c:v>
                </c:pt>
                <c:pt idx="7">
                  <c:v>7.1893137944140564E-3</c:v>
                </c:pt>
                <c:pt idx="8">
                  <c:v>8.4307090580877462E-3</c:v>
                </c:pt>
                <c:pt idx="9">
                  <c:v>8.0261871007291652E-3</c:v>
                </c:pt>
                <c:pt idx="10">
                  <c:v>7.9347591012637886E-3</c:v>
                </c:pt>
                <c:pt idx="11">
                  <c:v>7.843331101798412E-3</c:v>
                </c:pt>
                <c:pt idx="12">
                  <c:v>7.7519031023330354E-3</c:v>
                </c:pt>
                <c:pt idx="13">
                  <c:v>7.6604751028676865E-3</c:v>
                </c:pt>
                <c:pt idx="14">
                  <c:v>7.5690471034023099E-3</c:v>
                </c:pt>
                <c:pt idx="15">
                  <c:v>7.4776191039369333E-3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36B-41C7-9734-19F58B1C54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75614895"/>
        <c:axId val="1475614479"/>
      </c:lineChart>
      <c:catAx>
        <c:axId val="1475614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475614479"/>
        <c:crosses val="autoZero"/>
        <c:auto val="1"/>
        <c:lblAlgn val="ctr"/>
        <c:lblOffset val="100"/>
        <c:noMultiLvlLbl val="0"/>
      </c:catAx>
      <c:valAx>
        <c:axId val="14756144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4756148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1400">
          <a:solidFill>
            <a:sysClr val="windowText" lastClr="000000"/>
          </a:solidFill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'Bazis modell FES adatai'!$D$92</c:f>
          <c:strCache>
            <c:ptCount val="1"/>
            <c:pt idx="0">
              <c:v>Gyártás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'Bazis modell FES adatai'!$C$93</c:f>
              <c:strCache>
                <c:ptCount val="1"/>
                <c:pt idx="0">
                  <c:v>Fegyveresek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adatai'!$D$93:$S$93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0</c:v>
                </c:pt>
                <c:pt idx="2">
                  <c:v>1.0088541380416785E-6</c:v>
                </c:pt>
                <c:pt idx="3">
                  <c:v>0</c:v>
                </c:pt>
                <c:pt idx="4">
                  <c:v>1.7086084706250941E-6</c:v>
                </c:pt>
                <c:pt idx="5">
                  <c:v>0</c:v>
                </c:pt>
                <c:pt idx="6">
                  <c:v>6.3064788269714919E-7</c:v>
                </c:pt>
                <c:pt idx="7">
                  <c:v>0</c:v>
                </c:pt>
                <c:pt idx="8">
                  <c:v>0</c:v>
                </c:pt>
                <c:pt idx="9">
                  <c:v>1.5810655180930775E-7</c:v>
                </c:pt>
                <c:pt idx="10" formatCode="0.00">
                  <c:v>1.0023827189570593E-7</c:v>
                </c:pt>
                <c:pt idx="11" formatCode="0.00">
                  <c:v>4.2369991982117651E-8</c:v>
                </c:pt>
                <c:pt idx="12" formatCode="0.00">
                  <c:v>-1.5498287931484177E-8</c:v>
                </c:pt>
                <c:pt idx="13" formatCode="0.00">
                  <c:v>-7.3366567845072452E-8</c:v>
                </c:pt>
                <c:pt idx="14" formatCode="0.00">
                  <c:v>-1.3123484775867428E-7</c:v>
                </c:pt>
                <c:pt idx="15" formatCode="0.00">
                  <c:v>-1.8910312767226255E-7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56-4D04-A0B8-3CEF02747AC1}"/>
            </c:ext>
          </c:extLst>
        </c:ser>
        <c:ser>
          <c:idx val="1"/>
          <c:order val="1"/>
          <c:tx>
            <c:strRef>
              <c:f>'Bazis modell FES adatai'!$C$94</c:f>
              <c:strCache>
                <c:ptCount val="1"/>
                <c:pt idx="0">
                  <c:v>Vezetők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adatai'!$D$94:$S$94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2.0354569879038613E-3</c:v>
                </c:pt>
                <c:pt idx="2">
                  <c:v>1.771812090104008E-3</c:v>
                </c:pt>
                <c:pt idx="3">
                  <c:v>1.7106676271554221E-3</c:v>
                </c:pt>
                <c:pt idx="4">
                  <c:v>1.7693665878405224E-3</c:v>
                </c:pt>
                <c:pt idx="5">
                  <c:v>1.6465621980259577E-3</c:v>
                </c:pt>
                <c:pt idx="6">
                  <c:v>1.6614628685617298E-3</c:v>
                </c:pt>
                <c:pt idx="7">
                  <c:v>1.5487180480202854E-3</c:v>
                </c:pt>
                <c:pt idx="8">
                  <c:v>1.5058286191856273E-3</c:v>
                </c:pt>
                <c:pt idx="9">
                  <c:v>1.4333796931509935E-3</c:v>
                </c:pt>
                <c:pt idx="10" formatCode="0.00">
                  <c:v>1.3727453186623967E-3</c:v>
                </c:pt>
                <c:pt idx="11" formatCode="0.00">
                  <c:v>1.3121109441738138E-3</c:v>
                </c:pt>
                <c:pt idx="12" formatCode="0.00">
                  <c:v>1.251476569685217E-3</c:v>
                </c:pt>
                <c:pt idx="13" formatCode="0.00">
                  <c:v>1.1908421951966203E-3</c:v>
                </c:pt>
                <c:pt idx="14" formatCode="0.00">
                  <c:v>1.1302078207080235E-3</c:v>
                </c:pt>
                <c:pt idx="15" formatCode="0.00">
                  <c:v>1.0695734462194267E-3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156-4D04-A0B8-3CEF02747AC1}"/>
            </c:ext>
          </c:extLst>
        </c:ser>
        <c:ser>
          <c:idx val="2"/>
          <c:order val="2"/>
          <c:tx>
            <c:strRef>
              <c:f>'Bazis modell FES adatai'!$C$95</c:f>
              <c:strCache>
                <c:ptCount val="1"/>
                <c:pt idx="0">
                  <c:v>Felsőfokúak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adatai'!$D$95:$S$95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3.0839318928963769E-3</c:v>
                </c:pt>
                <c:pt idx="2">
                  <c:v>3.7779185435998859E-3</c:v>
                </c:pt>
                <c:pt idx="3">
                  <c:v>3.9374226931880524E-3</c:v>
                </c:pt>
                <c:pt idx="4">
                  <c:v>3.8264172792417603E-3</c:v>
                </c:pt>
                <c:pt idx="5">
                  <c:v>3.7109868663234859E-3</c:v>
                </c:pt>
                <c:pt idx="6">
                  <c:v>3.7209906806818993E-3</c:v>
                </c:pt>
                <c:pt idx="7">
                  <c:v>3.6370071821190896E-3</c:v>
                </c:pt>
                <c:pt idx="8">
                  <c:v>3.3817616613422302E-3</c:v>
                </c:pt>
                <c:pt idx="9">
                  <c:v>3.6675291599926833E-3</c:v>
                </c:pt>
                <c:pt idx="10" formatCode="0.00">
                  <c:v>3.674856840007925E-3</c:v>
                </c:pt>
                <c:pt idx="11" formatCode="0.00">
                  <c:v>3.6821845200231667E-3</c:v>
                </c:pt>
                <c:pt idx="12" formatCode="0.00">
                  <c:v>3.6895122000384067E-3</c:v>
                </c:pt>
                <c:pt idx="13" formatCode="0.00">
                  <c:v>3.6968398800536484E-3</c:v>
                </c:pt>
                <c:pt idx="14" formatCode="0.00">
                  <c:v>3.7041675600688901E-3</c:v>
                </c:pt>
                <c:pt idx="15" formatCode="0.00">
                  <c:v>3.7114952400841301E-3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156-4D04-A0B8-3CEF02747AC1}"/>
            </c:ext>
          </c:extLst>
        </c:ser>
        <c:ser>
          <c:idx val="3"/>
          <c:order val="3"/>
          <c:tx>
            <c:strRef>
              <c:f>'Bazis modell FES adatai'!$C$96</c:f>
              <c:strCache>
                <c:ptCount val="1"/>
                <c:pt idx="0">
                  <c:v>Egyéb felső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adatai'!$D$96:$S$96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4.6099439595219038E-3</c:v>
                </c:pt>
                <c:pt idx="2">
                  <c:v>4.7522554579185671E-3</c:v>
                </c:pt>
                <c:pt idx="3">
                  <c:v>5.3513129220172295E-3</c:v>
                </c:pt>
                <c:pt idx="4">
                  <c:v>4.9686562140240486E-3</c:v>
                </c:pt>
                <c:pt idx="5">
                  <c:v>4.7472823359743354E-3</c:v>
                </c:pt>
                <c:pt idx="6">
                  <c:v>4.9355974811605193E-3</c:v>
                </c:pt>
                <c:pt idx="7">
                  <c:v>4.9727984583987873E-3</c:v>
                </c:pt>
                <c:pt idx="8">
                  <c:v>4.593848098334772E-3</c:v>
                </c:pt>
                <c:pt idx="9">
                  <c:v>4.840829210926165E-3</c:v>
                </c:pt>
                <c:pt idx="10" formatCode="0.00">
                  <c:v>4.8351330653722529E-3</c:v>
                </c:pt>
                <c:pt idx="11" formatCode="0.00">
                  <c:v>4.829436919818339E-3</c:v>
                </c:pt>
                <c:pt idx="12" formatCode="0.00">
                  <c:v>4.8237407742644269E-3</c:v>
                </c:pt>
                <c:pt idx="13" formatCode="0.00">
                  <c:v>4.8180446287105147E-3</c:v>
                </c:pt>
                <c:pt idx="14" formatCode="0.00">
                  <c:v>4.8123484831566008E-3</c:v>
                </c:pt>
                <c:pt idx="15" formatCode="0.00">
                  <c:v>4.8066523376026887E-3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156-4D04-A0B8-3CEF02747AC1}"/>
            </c:ext>
          </c:extLst>
        </c:ser>
        <c:ser>
          <c:idx val="4"/>
          <c:order val="4"/>
          <c:tx>
            <c:strRef>
              <c:f>'Bazis modell FES adatai'!$C$97</c:f>
              <c:strCache>
                <c:ptCount val="1"/>
                <c:pt idx="0">
                  <c:v>Iroda-ügyvitel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adatai'!$D$97:$S$97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2.0508712512031092E-3</c:v>
                </c:pt>
                <c:pt idx="2">
                  <c:v>1.9920545565731544E-3</c:v>
                </c:pt>
                <c:pt idx="3">
                  <c:v>2.1075953778951586E-3</c:v>
                </c:pt>
                <c:pt idx="4">
                  <c:v>2.2408513999479483E-3</c:v>
                </c:pt>
                <c:pt idx="5">
                  <c:v>2.1799406763909055E-3</c:v>
                </c:pt>
                <c:pt idx="6">
                  <c:v>2.1696809756312722E-3</c:v>
                </c:pt>
                <c:pt idx="7">
                  <c:v>1.9277896828127448E-3</c:v>
                </c:pt>
                <c:pt idx="8">
                  <c:v>1.9107574789172636E-3</c:v>
                </c:pt>
                <c:pt idx="9">
                  <c:v>2.0094011728597518E-3</c:v>
                </c:pt>
                <c:pt idx="10" formatCode="0.00">
                  <c:v>1.9953919501793718E-3</c:v>
                </c:pt>
                <c:pt idx="11" formatCode="0.00">
                  <c:v>1.9813827274989954E-3</c:v>
                </c:pt>
                <c:pt idx="12" formatCode="0.00">
                  <c:v>1.9673735048186189E-3</c:v>
                </c:pt>
                <c:pt idx="13" formatCode="0.00">
                  <c:v>1.9533642821382424E-3</c:v>
                </c:pt>
                <c:pt idx="14" formatCode="0.00">
                  <c:v>1.939355059457866E-3</c:v>
                </c:pt>
                <c:pt idx="15" formatCode="0.00">
                  <c:v>1.9253458367774895E-3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156-4D04-A0B8-3CEF02747AC1}"/>
            </c:ext>
          </c:extLst>
        </c:ser>
        <c:ser>
          <c:idx val="5"/>
          <c:order val="5"/>
          <c:tx>
            <c:strRef>
              <c:f>'Bazis modell FES adatai'!$C$98</c:f>
              <c:strCache>
                <c:ptCount val="1"/>
                <c:pt idx="0">
                  <c:v>Ker-szolg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adatai'!$D$98:$S$98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1.5307043842204273E-3</c:v>
                </c:pt>
                <c:pt idx="2">
                  <c:v>1.6009314153890436E-3</c:v>
                </c:pt>
                <c:pt idx="3">
                  <c:v>1.5762215730661133E-3</c:v>
                </c:pt>
                <c:pt idx="4">
                  <c:v>1.6573046536137912E-3</c:v>
                </c:pt>
                <c:pt idx="5">
                  <c:v>1.3502864293720269E-3</c:v>
                </c:pt>
                <c:pt idx="6">
                  <c:v>1.5313812319573976E-3</c:v>
                </c:pt>
                <c:pt idx="7">
                  <c:v>1.4468440266099604E-3</c:v>
                </c:pt>
                <c:pt idx="8">
                  <c:v>1.3860421736737838E-3</c:v>
                </c:pt>
                <c:pt idx="9">
                  <c:v>1.3907888610615732E-3</c:v>
                </c:pt>
                <c:pt idx="10" formatCode="0.00">
                  <c:v>1.3643053888557424E-3</c:v>
                </c:pt>
                <c:pt idx="11" formatCode="0.00">
                  <c:v>1.3378219166499117E-3</c:v>
                </c:pt>
                <c:pt idx="12" formatCode="0.00">
                  <c:v>1.3113384444440809E-3</c:v>
                </c:pt>
                <c:pt idx="13" formatCode="0.00">
                  <c:v>1.2848549722382502E-3</c:v>
                </c:pt>
                <c:pt idx="14" formatCode="0.00">
                  <c:v>1.2583715000324194E-3</c:v>
                </c:pt>
                <c:pt idx="15" formatCode="0.00">
                  <c:v>1.2318880278265887E-3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156-4D04-A0B8-3CEF02747AC1}"/>
            </c:ext>
          </c:extLst>
        </c:ser>
        <c:ser>
          <c:idx val="6"/>
          <c:order val="6"/>
          <c:tx>
            <c:strRef>
              <c:f>'Bazis modell FES adatai'!$C$99</c:f>
              <c:strCache>
                <c:ptCount val="1"/>
                <c:pt idx="0">
                  <c:v>Mező-erdő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adatai'!$D$99:$S$99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2.8027212994339971E-4</c:v>
                </c:pt>
                <c:pt idx="2">
                  <c:v>2.7279896299379391E-4</c:v>
                </c:pt>
                <c:pt idx="3">
                  <c:v>3.0106744296434079E-4</c:v>
                </c:pt>
                <c:pt idx="4">
                  <c:v>2.7588331439026517E-4</c:v>
                </c:pt>
                <c:pt idx="5">
                  <c:v>2.236866930613095E-4</c:v>
                </c:pt>
                <c:pt idx="6">
                  <c:v>2.1959159275514737E-4</c:v>
                </c:pt>
                <c:pt idx="7">
                  <c:v>1.928520033285944E-4</c:v>
                </c:pt>
                <c:pt idx="8">
                  <c:v>2.8652947357032401E-4</c:v>
                </c:pt>
                <c:pt idx="9">
                  <c:v>2.2162676064942793E-4</c:v>
                </c:pt>
                <c:pt idx="10" formatCode="0.00">
                  <c:v>2.1385821821021458E-4</c:v>
                </c:pt>
                <c:pt idx="11" formatCode="0.00">
                  <c:v>2.0608967577099777E-4</c:v>
                </c:pt>
                <c:pt idx="12" formatCode="0.00">
                  <c:v>1.9832113333178442E-4</c:v>
                </c:pt>
                <c:pt idx="13" formatCode="0.00">
                  <c:v>1.905525908925676E-4</c:v>
                </c:pt>
                <c:pt idx="14" formatCode="0.00">
                  <c:v>1.8278404845335425E-4</c:v>
                </c:pt>
                <c:pt idx="15" formatCode="0.00">
                  <c:v>1.7501550601413743E-4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156-4D04-A0B8-3CEF02747AC1}"/>
            </c:ext>
          </c:extLst>
        </c:ser>
        <c:ser>
          <c:idx val="7"/>
          <c:order val="7"/>
          <c:tx>
            <c:strRef>
              <c:f>'Bazis modell FES adatai'!$C$100</c:f>
              <c:strCache>
                <c:ptCount val="1"/>
                <c:pt idx="0">
                  <c:v>ipar-épip.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adatai'!$D$100:$S$100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1.063574783012905E-2</c:v>
                </c:pt>
                <c:pt idx="2">
                  <c:v>1.0146094106958402E-2</c:v>
                </c:pt>
                <c:pt idx="3">
                  <c:v>1.0283779416954103E-2</c:v>
                </c:pt>
                <c:pt idx="4">
                  <c:v>1.0055411445537704E-2</c:v>
                </c:pt>
                <c:pt idx="5">
                  <c:v>9.7835815330433399E-3</c:v>
                </c:pt>
                <c:pt idx="6">
                  <c:v>9.4708386647887992E-3</c:v>
                </c:pt>
                <c:pt idx="7">
                  <c:v>9.4397206484961183E-3</c:v>
                </c:pt>
                <c:pt idx="8">
                  <c:v>9.1312891164146252E-3</c:v>
                </c:pt>
                <c:pt idx="9">
                  <c:v>8.9697151422204469E-3</c:v>
                </c:pt>
                <c:pt idx="10" formatCode="0.00">
                  <c:v>8.7700278748716332E-3</c:v>
                </c:pt>
                <c:pt idx="11" formatCode="0.00">
                  <c:v>8.5703406075227639E-3</c:v>
                </c:pt>
                <c:pt idx="12" formatCode="0.00">
                  <c:v>8.3706533401739502E-3</c:v>
                </c:pt>
                <c:pt idx="13" formatCode="0.00">
                  <c:v>8.170966072825081E-3</c:v>
                </c:pt>
                <c:pt idx="14" formatCode="0.00">
                  <c:v>7.9712788054762673E-3</c:v>
                </c:pt>
                <c:pt idx="15" formatCode="0.00">
                  <c:v>7.7715915381273981E-3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156-4D04-A0B8-3CEF02747AC1}"/>
            </c:ext>
          </c:extLst>
        </c:ser>
        <c:ser>
          <c:idx val="8"/>
          <c:order val="8"/>
          <c:tx>
            <c:strRef>
              <c:f>'Bazis modell FES adatai'!$C$101</c:f>
              <c:strCache>
                <c:ptCount val="1"/>
                <c:pt idx="0">
                  <c:v>Összeszerelők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adatai'!$D$101:$S$101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9.8851881692367579E-3</c:v>
                </c:pt>
                <c:pt idx="2">
                  <c:v>1.0016576451903146E-2</c:v>
                </c:pt>
                <c:pt idx="3">
                  <c:v>1.034743973451482E-2</c:v>
                </c:pt>
                <c:pt idx="4">
                  <c:v>1.0083159247100654E-2</c:v>
                </c:pt>
                <c:pt idx="5">
                  <c:v>9.5703727273815601E-3</c:v>
                </c:pt>
                <c:pt idx="6">
                  <c:v>1.0358938034799012E-2</c:v>
                </c:pt>
                <c:pt idx="7">
                  <c:v>1.0245336698838998E-2</c:v>
                </c:pt>
                <c:pt idx="8">
                  <c:v>1.0061802505249406E-2</c:v>
                </c:pt>
                <c:pt idx="9">
                  <c:v>1.0172984372979893E-2</c:v>
                </c:pt>
                <c:pt idx="10" formatCode="0.00">
                  <c:v>1.019562496783586E-2</c:v>
                </c:pt>
                <c:pt idx="11" formatCode="0.00">
                  <c:v>1.0218265562691828E-2</c:v>
                </c:pt>
                <c:pt idx="12" formatCode="0.00">
                  <c:v>1.0240906157547795E-2</c:v>
                </c:pt>
                <c:pt idx="13" formatCode="0.00">
                  <c:v>1.0263546752403763E-2</c:v>
                </c:pt>
                <c:pt idx="14" formatCode="0.00">
                  <c:v>1.028618734725973E-2</c:v>
                </c:pt>
                <c:pt idx="15" formatCode="0.00">
                  <c:v>1.0308827942115698E-2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156-4D04-A0B8-3CEF02747AC1}"/>
            </c:ext>
          </c:extLst>
        </c:ser>
        <c:ser>
          <c:idx val="9"/>
          <c:order val="9"/>
          <c:tx>
            <c:strRef>
              <c:f>'Bazis modell FES adatai'!$C$102</c:f>
              <c:strCache>
                <c:ptCount val="1"/>
                <c:pt idx="0">
                  <c:v>szakképzetlen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adatai'!$D$102:$S$102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2.8095486215345771E-3</c:v>
                </c:pt>
                <c:pt idx="2">
                  <c:v>2.6049814861067145E-3</c:v>
                </c:pt>
                <c:pt idx="3">
                  <c:v>2.5408159200560327E-3</c:v>
                </c:pt>
                <c:pt idx="4">
                  <c:v>2.4467501113814094E-3</c:v>
                </c:pt>
                <c:pt idx="5">
                  <c:v>2.3407384411634883E-3</c:v>
                </c:pt>
                <c:pt idx="6">
                  <c:v>2.2847742142235021E-3</c:v>
                </c:pt>
                <c:pt idx="7">
                  <c:v>2.4044519321862246E-3</c:v>
                </c:pt>
                <c:pt idx="8">
                  <c:v>2.4150182822715821E-3</c:v>
                </c:pt>
                <c:pt idx="9">
                  <c:v>2.2323939690355038E-3</c:v>
                </c:pt>
                <c:pt idx="10" formatCode="0.00">
                  <c:v>2.1771737674621816E-3</c:v>
                </c:pt>
                <c:pt idx="11" formatCode="0.00">
                  <c:v>2.1219535658888594E-3</c:v>
                </c:pt>
                <c:pt idx="12" formatCode="0.00">
                  <c:v>2.0667333643155372E-3</c:v>
                </c:pt>
                <c:pt idx="13" formatCode="0.00">
                  <c:v>2.011513162742215E-3</c:v>
                </c:pt>
                <c:pt idx="14" formatCode="0.00">
                  <c:v>1.9562929611688928E-3</c:v>
                </c:pt>
                <c:pt idx="15" formatCode="0.00">
                  <c:v>1.9010727595955706E-3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156-4D04-A0B8-3CEF02747A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69193807"/>
        <c:axId val="1469200463"/>
      </c:lineChart>
      <c:catAx>
        <c:axId val="1469193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469200463"/>
        <c:crosses val="autoZero"/>
        <c:auto val="1"/>
        <c:lblAlgn val="ctr"/>
        <c:lblOffset val="100"/>
        <c:noMultiLvlLbl val="0"/>
      </c:catAx>
      <c:valAx>
        <c:axId val="14692004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4691938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1400">
          <a:solidFill>
            <a:sysClr val="windowText" lastClr="000000"/>
          </a:solidFill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'Bazis modell FES adatai'!$D$92</c:f>
          <c:strCache>
            <c:ptCount val="1"/>
            <c:pt idx="0">
              <c:v>Gyártás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'Bazis modell FES adatai'!$C$106</c:f>
              <c:strCache>
                <c:ptCount val="1"/>
                <c:pt idx="0">
                  <c:v>0-7 osztály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adatai'!$D$106:$S$106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8.8285955548050664E-5</c:v>
                </c:pt>
                <c:pt idx="2">
                  <c:v>6.6248088398070229E-5</c:v>
                </c:pt>
                <c:pt idx="3">
                  <c:v>6.9799519370407738E-5</c:v>
                </c:pt>
                <c:pt idx="4">
                  <c:v>7.2763939402353996E-5</c:v>
                </c:pt>
                <c:pt idx="5">
                  <c:v>6.7058479356992923E-5</c:v>
                </c:pt>
                <c:pt idx="6">
                  <c:v>6.0268915989757561E-5</c:v>
                </c:pt>
                <c:pt idx="7">
                  <c:v>5.8822821895518048E-5</c:v>
                </c:pt>
                <c:pt idx="8">
                  <c:v>6.5987036835920494E-5</c:v>
                </c:pt>
                <c:pt idx="9">
                  <c:v>5.6465985652224236E-5</c:v>
                </c:pt>
                <c:pt idx="10" formatCode="0.00">
                  <c:v>5.3757461441688442E-5</c:v>
                </c:pt>
                <c:pt idx="11" formatCode="0.00">
                  <c:v>5.1048937231152648E-5</c:v>
                </c:pt>
                <c:pt idx="12" formatCode="0.00">
                  <c:v>4.8340413020617722E-5</c:v>
                </c:pt>
                <c:pt idx="13" formatCode="0.00">
                  <c:v>4.5631888810081928E-5</c:v>
                </c:pt>
                <c:pt idx="14" formatCode="0.00">
                  <c:v>4.2923364599546134E-5</c:v>
                </c:pt>
                <c:pt idx="15" formatCode="0.00">
                  <c:v>4.0214840389011207E-5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DCD-4D72-AA77-E42A1F88A109}"/>
            </c:ext>
          </c:extLst>
        </c:ser>
        <c:ser>
          <c:idx val="1"/>
          <c:order val="1"/>
          <c:tx>
            <c:strRef>
              <c:f>'Bazis modell FES adatai'!$C$107</c:f>
              <c:strCache>
                <c:ptCount val="1"/>
                <c:pt idx="0">
                  <c:v>8 osztály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adatai'!$D$107:$S$107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4.6591429095044342E-3</c:v>
                </c:pt>
                <c:pt idx="2">
                  <c:v>4.335190353184813E-3</c:v>
                </c:pt>
                <c:pt idx="3">
                  <c:v>4.3019038994235653E-3</c:v>
                </c:pt>
                <c:pt idx="4">
                  <c:v>4.3356509478268638E-3</c:v>
                </c:pt>
                <c:pt idx="5">
                  <c:v>4.1701991850129965E-3</c:v>
                </c:pt>
                <c:pt idx="6">
                  <c:v>4.1489062906880057E-3</c:v>
                </c:pt>
                <c:pt idx="7">
                  <c:v>4.158595855195321E-3</c:v>
                </c:pt>
                <c:pt idx="8">
                  <c:v>4.2131835301750884E-3</c:v>
                </c:pt>
                <c:pt idx="9">
                  <c:v>4.0423573677545871E-3</c:v>
                </c:pt>
                <c:pt idx="10" formatCode="0.00">
                  <c:v>3.9872486447275202E-3</c:v>
                </c:pt>
                <c:pt idx="11" formatCode="0.00">
                  <c:v>3.9321399217004532E-3</c:v>
                </c:pt>
                <c:pt idx="12" formatCode="0.00">
                  <c:v>3.8770311986734002E-3</c:v>
                </c:pt>
                <c:pt idx="13" formatCode="0.00">
                  <c:v>3.8219224756463333E-3</c:v>
                </c:pt>
                <c:pt idx="14" formatCode="0.00">
                  <c:v>3.7668137526192663E-3</c:v>
                </c:pt>
                <c:pt idx="15" formatCode="0.00">
                  <c:v>3.7117050295921994E-3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DCD-4D72-AA77-E42A1F88A109}"/>
            </c:ext>
          </c:extLst>
        </c:ser>
        <c:ser>
          <c:idx val="2"/>
          <c:order val="2"/>
          <c:tx>
            <c:strRef>
              <c:f>'Bazis modell FES adatai'!$C$108</c:f>
              <c:strCache>
                <c:ptCount val="1"/>
                <c:pt idx="0">
                  <c:v>szakiskola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adatai'!$D$108:$S$108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1.4281725524542592E-2</c:v>
                </c:pt>
                <c:pt idx="2">
                  <c:v>1.397923540444776E-2</c:v>
                </c:pt>
                <c:pt idx="3">
                  <c:v>1.4402690722676796E-2</c:v>
                </c:pt>
                <c:pt idx="4">
                  <c:v>1.3783617909887934E-2</c:v>
                </c:pt>
                <c:pt idx="5">
                  <c:v>1.2614577085047112E-2</c:v>
                </c:pt>
                <c:pt idx="6">
                  <c:v>1.2901352930700391E-2</c:v>
                </c:pt>
                <c:pt idx="7">
                  <c:v>1.3053554007492611E-2</c:v>
                </c:pt>
                <c:pt idx="8">
                  <c:v>1.2712676359485253E-2</c:v>
                </c:pt>
                <c:pt idx="9">
                  <c:v>1.2325921314055743E-2</c:v>
                </c:pt>
                <c:pt idx="10" formatCode="0.00">
                  <c:v>1.2072530774282497E-2</c:v>
                </c:pt>
                <c:pt idx="11" formatCode="0.00">
                  <c:v>1.1819140234509362E-2</c:v>
                </c:pt>
                <c:pt idx="12" formatCode="0.00">
                  <c:v>1.1565749694736227E-2</c:v>
                </c:pt>
                <c:pt idx="13" formatCode="0.00">
                  <c:v>1.1312359154962981E-2</c:v>
                </c:pt>
                <c:pt idx="14" formatCode="0.00">
                  <c:v>1.1058968615189846E-2</c:v>
                </c:pt>
                <c:pt idx="15" formatCode="0.00">
                  <c:v>1.08055780754166E-2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DCD-4D72-AA77-E42A1F88A109}"/>
            </c:ext>
          </c:extLst>
        </c:ser>
        <c:ser>
          <c:idx val="3"/>
          <c:order val="3"/>
          <c:tx>
            <c:strRef>
              <c:f>'Bazis modell FES adatai'!$C$109</c:f>
              <c:strCache>
                <c:ptCount val="1"/>
                <c:pt idx="0">
                  <c:v>Gimnázium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adatai'!$D$109:$S$109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2.7655112209064368E-3</c:v>
                </c:pt>
                <c:pt idx="2">
                  <c:v>2.8415097408042481E-3</c:v>
                </c:pt>
                <c:pt idx="3">
                  <c:v>3.1928287387598241E-3</c:v>
                </c:pt>
                <c:pt idx="4">
                  <c:v>3.2620297292248793E-3</c:v>
                </c:pt>
                <c:pt idx="5">
                  <c:v>3.4764982274894654E-3</c:v>
                </c:pt>
                <c:pt idx="6">
                  <c:v>4.147098433424274E-3</c:v>
                </c:pt>
                <c:pt idx="7">
                  <c:v>3.7608509353313315E-3</c:v>
                </c:pt>
                <c:pt idx="8">
                  <c:v>3.6872661068278155E-3</c:v>
                </c:pt>
                <c:pt idx="9">
                  <c:v>4.1484634856858715E-3</c:v>
                </c:pt>
                <c:pt idx="10" formatCode="0.00">
                  <c:v>4.3166333399280443E-3</c:v>
                </c:pt>
                <c:pt idx="11" formatCode="0.00">
                  <c:v>4.4848031941702171E-3</c:v>
                </c:pt>
                <c:pt idx="12" formatCode="0.00">
                  <c:v>4.6529730484123899E-3</c:v>
                </c:pt>
                <c:pt idx="13" formatCode="0.00">
                  <c:v>4.8211429026545627E-3</c:v>
                </c:pt>
                <c:pt idx="14" formatCode="0.00">
                  <c:v>4.9893127568967355E-3</c:v>
                </c:pt>
                <c:pt idx="15" formatCode="0.00">
                  <c:v>5.1574826111389638E-3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D-4D72-AA77-E42A1F88A109}"/>
            </c:ext>
          </c:extLst>
        </c:ser>
        <c:ser>
          <c:idx val="4"/>
          <c:order val="4"/>
          <c:tx>
            <c:strRef>
              <c:f>'Bazis modell FES adatai'!$C$110</c:f>
              <c:strCache>
                <c:ptCount val="1"/>
                <c:pt idx="0">
                  <c:v>Technikum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adatai'!$D$110:$S$110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9.0891599508498826E-3</c:v>
                </c:pt>
                <c:pt idx="2">
                  <c:v>8.976111550869496E-3</c:v>
                </c:pt>
                <c:pt idx="3">
                  <c:v>9.0845640080324287E-3</c:v>
                </c:pt>
                <c:pt idx="4">
                  <c:v>8.9125574117059903E-3</c:v>
                </c:pt>
                <c:pt idx="5">
                  <c:v>8.5016282126294859E-3</c:v>
                </c:pt>
                <c:pt idx="6">
                  <c:v>8.2567784258085163E-3</c:v>
                </c:pt>
                <c:pt idx="7">
                  <c:v>7.91922965930489E-3</c:v>
                </c:pt>
                <c:pt idx="8">
                  <c:v>7.4318270118948915E-3</c:v>
                </c:pt>
                <c:pt idx="9">
                  <c:v>7.4618377801589642E-3</c:v>
                </c:pt>
                <c:pt idx="10" formatCode="0.00">
                  <c:v>7.2263612804416288E-3</c:v>
                </c:pt>
                <c:pt idx="11" formatCode="0.00">
                  <c:v>6.9908847807242935E-3</c:v>
                </c:pt>
                <c:pt idx="12" formatCode="0.00">
                  <c:v>6.7554082810069582E-3</c:v>
                </c:pt>
                <c:pt idx="13" formatCode="0.00">
                  <c:v>6.5199317812896229E-3</c:v>
                </c:pt>
                <c:pt idx="14" formatCode="0.00">
                  <c:v>6.2844552815722876E-3</c:v>
                </c:pt>
                <c:pt idx="15" formatCode="0.00">
                  <c:v>6.0489787818549523E-3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D-4D72-AA77-E42A1F88A109}"/>
            </c:ext>
          </c:extLst>
        </c:ser>
        <c:ser>
          <c:idx val="5"/>
          <c:order val="5"/>
          <c:tx>
            <c:strRef>
              <c:f>'Bazis modell FES adatai'!$C$111</c:f>
              <c:strCache>
                <c:ptCount val="1"/>
                <c:pt idx="0">
                  <c:v>Főiskola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adatai'!$D$111:$S$111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3.6702838995551282E-3</c:v>
                </c:pt>
                <c:pt idx="2">
                  <c:v>3.9465413066725663E-3</c:v>
                </c:pt>
                <c:pt idx="3">
                  <c:v>4.2073256739538073E-3</c:v>
                </c:pt>
                <c:pt idx="4">
                  <c:v>3.9882794550256447E-3</c:v>
                </c:pt>
                <c:pt idx="5">
                  <c:v>3.7094529900237611E-3</c:v>
                </c:pt>
                <c:pt idx="6">
                  <c:v>3.9353689176067509E-3</c:v>
                </c:pt>
                <c:pt idx="7">
                  <c:v>3.8767792685502501E-3</c:v>
                </c:pt>
                <c:pt idx="8">
                  <c:v>3.459122584852503E-3</c:v>
                </c:pt>
                <c:pt idx="9">
                  <c:v>3.6926280409100704E-3</c:v>
                </c:pt>
                <c:pt idx="10" formatCode="0.00">
                  <c:v>3.6578466584389624E-3</c:v>
                </c:pt>
                <c:pt idx="11" formatCode="0.00">
                  <c:v>3.6230652759678544E-3</c:v>
                </c:pt>
                <c:pt idx="12" formatCode="0.00">
                  <c:v>3.5882838934967465E-3</c:v>
                </c:pt>
                <c:pt idx="13" formatCode="0.00">
                  <c:v>3.5535025110256385E-3</c:v>
                </c:pt>
                <c:pt idx="14" formatCode="0.00">
                  <c:v>3.5187211285545306E-3</c:v>
                </c:pt>
                <c:pt idx="15" formatCode="0.00">
                  <c:v>3.4839397460834226E-3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D-4D72-AA77-E42A1F88A109}"/>
            </c:ext>
          </c:extLst>
        </c:ser>
        <c:ser>
          <c:idx val="6"/>
          <c:order val="6"/>
          <c:tx>
            <c:strRef>
              <c:f>'Bazis modell FES adatai'!$C$112</c:f>
              <c:strCache>
                <c:ptCount val="1"/>
                <c:pt idx="0">
                  <c:v>Egyetem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adatai'!$D$66:$S$66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adatai'!$D$112:$S$112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2.3675557656829354E-3</c:v>
                </c:pt>
                <c:pt idx="2">
                  <c:v>2.7915954813078044E-3</c:v>
                </c:pt>
                <c:pt idx="3">
                  <c:v>2.8972101455944444E-3</c:v>
                </c:pt>
                <c:pt idx="4">
                  <c:v>2.9706094684750634E-3</c:v>
                </c:pt>
                <c:pt idx="5">
                  <c:v>3.0140237211765957E-3</c:v>
                </c:pt>
                <c:pt idx="6">
                  <c:v>2.9041124782242826E-3</c:v>
                </c:pt>
                <c:pt idx="7">
                  <c:v>2.9876861330408798E-3</c:v>
                </c:pt>
                <c:pt idx="8">
                  <c:v>3.1028147788881412E-3</c:v>
                </c:pt>
                <c:pt idx="9">
                  <c:v>3.2111324752108761E-3</c:v>
                </c:pt>
                <c:pt idx="10" formatCode="0.00">
                  <c:v>3.2848394704691197E-3</c:v>
                </c:pt>
                <c:pt idx="11" formatCode="0.00">
                  <c:v>3.3585464657273634E-3</c:v>
                </c:pt>
                <c:pt idx="12" formatCode="0.00">
                  <c:v>3.4322534609856348E-3</c:v>
                </c:pt>
                <c:pt idx="13" formatCode="0.00">
                  <c:v>3.5059604562438784E-3</c:v>
                </c:pt>
                <c:pt idx="14" formatCode="0.00">
                  <c:v>3.5796674515021221E-3</c:v>
                </c:pt>
                <c:pt idx="15" formatCode="0.00">
                  <c:v>3.6533744467603657E-3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DCD-4D72-AA77-E42A1F88A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2015935"/>
        <c:axId val="1332016351"/>
      </c:lineChart>
      <c:catAx>
        <c:axId val="1332015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32016351"/>
        <c:crosses val="autoZero"/>
        <c:auto val="1"/>
        <c:lblAlgn val="ctr"/>
        <c:lblOffset val="100"/>
        <c:noMultiLvlLbl val="0"/>
      </c:catAx>
      <c:valAx>
        <c:axId val="13320163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320159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1400">
          <a:solidFill>
            <a:sysClr val="windowText" lastClr="000000"/>
          </a:solidFill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'Bazis modell FES adatai'!$D$117</c:f>
          <c:strCache>
            <c:ptCount val="1"/>
            <c:pt idx="0">
              <c:v>Downstream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'Bazis modell FES adatai'!$C$118</c:f>
              <c:strCache>
                <c:ptCount val="1"/>
                <c:pt idx="0">
                  <c:v>Fegyveresek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adatai'!$D$116:$S$116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adatai'!$D$118:$S$118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1.0825942576251329E-3</c:v>
                </c:pt>
                <c:pt idx="2">
                  <c:v>1.1262827822974123E-3</c:v>
                </c:pt>
                <c:pt idx="3">
                  <c:v>1.115662043876979E-3</c:v>
                </c:pt>
                <c:pt idx="4">
                  <c:v>1.1710926707865321E-3</c:v>
                </c:pt>
                <c:pt idx="5">
                  <c:v>9.2289587712405098E-4</c:v>
                </c:pt>
                <c:pt idx="6">
                  <c:v>8.5467080913932648E-4</c:v>
                </c:pt>
                <c:pt idx="7">
                  <c:v>1.0027225082715951E-3</c:v>
                </c:pt>
                <c:pt idx="8">
                  <c:v>6.4712397987637621E-4</c:v>
                </c:pt>
                <c:pt idx="9">
                  <c:v>7.3874148332579714E-4</c:v>
                </c:pt>
                <c:pt idx="10" formatCode="0.00">
                  <c:v>6.8282167603715693E-4</c:v>
                </c:pt>
                <c:pt idx="11" formatCode="0.00">
                  <c:v>6.2690186874851672E-4</c:v>
                </c:pt>
                <c:pt idx="12" formatCode="0.00">
                  <c:v>5.7098206145987651E-4</c:v>
                </c:pt>
                <c:pt idx="13" formatCode="0.00">
                  <c:v>5.150622541712363E-4</c:v>
                </c:pt>
                <c:pt idx="14" formatCode="0.00">
                  <c:v>4.5914244688259609E-4</c:v>
                </c:pt>
                <c:pt idx="15" formatCode="0.00">
                  <c:v>4.0322263959395588E-4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316-40FF-A1AA-E9953D293A47}"/>
            </c:ext>
          </c:extLst>
        </c:ser>
        <c:ser>
          <c:idx val="1"/>
          <c:order val="1"/>
          <c:tx>
            <c:strRef>
              <c:f>'Bazis modell FES adatai'!$C$119</c:f>
              <c:strCache>
                <c:ptCount val="1"/>
                <c:pt idx="0">
                  <c:v>Vezetők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adatai'!$D$116:$S$116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adatai'!$D$119:$S$119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8.4426931816268848E-3</c:v>
                </c:pt>
                <c:pt idx="2">
                  <c:v>7.5639570066565907E-3</c:v>
                </c:pt>
                <c:pt idx="3">
                  <c:v>7.1825885425274277E-3</c:v>
                </c:pt>
                <c:pt idx="4">
                  <c:v>7.2847134095665768E-3</c:v>
                </c:pt>
                <c:pt idx="5">
                  <c:v>7.2285677344401346E-3</c:v>
                </c:pt>
                <c:pt idx="6">
                  <c:v>6.9164908543821258E-3</c:v>
                </c:pt>
                <c:pt idx="7">
                  <c:v>6.4821079612085337E-3</c:v>
                </c:pt>
                <c:pt idx="8">
                  <c:v>6.3683143565340895E-3</c:v>
                </c:pt>
                <c:pt idx="9">
                  <c:v>6.0702325732364115E-3</c:v>
                </c:pt>
                <c:pt idx="10" formatCode="0.00">
                  <c:v>5.8228000048738404E-3</c:v>
                </c:pt>
                <c:pt idx="11" formatCode="0.00">
                  <c:v>5.5753674365113248E-3</c:v>
                </c:pt>
                <c:pt idx="12" formatCode="0.00">
                  <c:v>5.3279348681487537E-3</c:v>
                </c:pt>
                <c:pt idx="13" formatCode="0.00">
                  <c:v>5.0805022997862936E-3</c:v>
                </c:pt>
                <c:pt idx="14" formatCode="0.00">
                  <c:v>4.8330697314237225E-3</c:v>
                </c:pt>
                <c:pt idx="15" formatCode="0.00">
                  <c:v>4.5856371630612625E-3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316-40FF-A1AA-E9953D293A47}"/>
            </c:ext>
          </c:extLst>
        </c:ser>
        <c:ser>
          <c:idx val="2"/>
          <c:order val="2"/>
          <c:tx>
            <c:strRef>
              <c:f>'Bazis modell FES adatai'!$C$120</c:f>
              <c:strCache>
                <c:ptCount val="1"/>
                <c:pt idx="0">
                  <c:v>Felsőfokúak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adatai'!$D$116:$S$116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adatai'!$D$120:$S$120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3.2773443538188451E-2</c:v>
                </c:pt>
                <c:pt idx="2">
                  <c:v>3.3264002199586466E-2</c:v>
                </c:pt>
                <c:pt idx="3">
                  <c:v>3.1592439062976388E-2</c:v>
                </c:pt>
                <c:pt idx="4">
                  <c:v>3.196715291865642E-2</c:v>
                </c:pt>
                <c:pt idx="5">
                  <c:v>3.1200773713470988E-2</c:v>
                </c:pt>
                <c:pt idx="6">
                  <c:v>2.9805110587224043E-2</c:v>
                </c:pt>
                <c:pt idx="7">
                  <c:v>2.7969998648041006E-2</c:v>
                </c:pt>
                <c:pt idx="8">
                  <c:v>2.8306865190282259E-2</c:v>
                </c:pt>
                <c:pt idx="9">
                  <c:v>2.7438664438079075E-2</c:v>
                </c:pt>
                <c:pt idx="10" formatCode="0.00">
                  <c:v>2.6678373594918314E-2</c:v>
                </c:pt>
                <c:pt idx="11" formatCode="0.00">
                  <c:v>2.5918082751757332E-2</c:v>
                </c:pt>
                <c:pt idx="12" formatCode="0.00">
                  <c:v>2.5157791908596572E-2</c:v>
                </c:pt>
                <c:pt idx="13" formatCode="0.00">
                  <c:v>2.4397501065435589E-2</c:v>
                </c:pt>
                <c:pt idx="14" formatCode="0.00">
                  <c:v>2.3637210222274829E-2</c:v>
                </c:pt>
                <c:pt idx="15" formatCode="0.00">
                  <c:v>2.2876919379113847E-2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316-40FF-A1AA-E9953D293A47}"/>
            </c:ext>
          </c:extLst>
        </c:ser>
        <c:ser>
          <c:idx val="3"/>
          <c:order val="3"/>
          <c:tx>
            <c:strRef>
              <c:f>'Bazis modell FES adatai'!$C$121</c:f>
              <c:strCache>
                <c:ptCount val="1"/>
                <c:pt idx="0">
                  <c:v>Egyéb felső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adatai'!$D$116:$S$116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adatai'!$D$121:$S$121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2.3013586450824273E-2</c:v>
                </c:pt>
                <c:pt idx="2">
                  <c:v>2.5169452383379257E-2</c:v>
                </c:pt>
                <c:pt idx="3">
                  <c:v>2.4577027343007235E-2</c:v>
                </c:pt>
                <c:pt idx="4">
                  <c:v>2.5973482372571494E-2</c:v>
                </c:pt>
                <c:pt idx="5">
                  <c:v>2.5785263911853217E-2</c:v>
                </c:pt>
                <c:pt idx="6">
                  <c:v>2.5160517375036631E-2</c:v>
                </c:pt>
                <c:pt idx="7">
                  <c:v>2.4273612019091794E-2</c:v>
                </c:pt>
                <c:pt idx="8">
                  <c:v>2.2699797165887572E-2</c:v>
                </c:pt>
                <c:pt idx="9">
                  <c:v>2.4307656207315842E-2</c:v>
                </c:pt>
                <c:pt idx="10" formatCode="0.00">
                  <c:v>2.4246781502784601E-2</c:v>
                </c:pt>
                <c:pt idx="11" formatCode="0.00">
                  <c:v>2.4185906798253359E-2</c:v>
                </c:pt>
                <c:pt idx="12" formatCode="0.00">
                  <c:v>2.4125032093722118E-2</c:v>
                </c:pt>
                <c:pt idx="13" formatCode="0.00">
                  <c:v>2.4064157389190877E-2</c:v>
                </c:pt>
                <c:pt idx="14" formatCode="0.00">
                  <c:v>2.4003282684659635E-2</c:v>
                </c:pt>
                <c:pt idx="15" formatCode="0.00">
                  <c:v>2.3942407980128394E-2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316-40FF-A1AA-E9953D293A47}"/>
            </c:ext>
          </c:extLst>
        </c:ser>
        <c:ser>
          <c:idx val="4"/>
          <c:order val="4"/>
          <c:tx>
            <c:strRef>
              <c:f>'Bazis modell FES adatai'!$C$122</c:f>
              <c:strCache>
                <c:ptCount val="1"/>
                <c:pt idx="0">
                  <c:v>Iroda-ügyvitel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adatai'!$D$116:$S$116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adatai'!$D$122:$S$122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7.8347713789789046E-3</c:v>
                </c:pt>
                <c:pt idx="2">
                  <c:v>7.7062818143842178E-3</c:v>
                </c:pt>
                <c:pt idx="3">
                  <c:v>6.7204198134972826E-3</c:v>
                </c:pt>
                <c:pt idx="4">
                  <c:v>7.0193897258668527E-3</c:v>
                </c:pt>
                <c:pt idx="5">
                  <c:v>7.0622601328892351E-3</c:v>
                </c:pt>
                <c:pt idx="6">
                  <c:v>7.1044610612401972E-3</c:v>
                </c:pt>
                <c:pt idx="7">
                  <c:v>6.4625229418571271E-3</c:v>
                </c:pt>
                <c:pt idx="8">
                  <c:v>7.3094289998503099E-3</c:v>
                </c:pt>
                <c:pt idx="9">
                  <c:v>6.6863064371624203E-3</c:v>
                </c:pt>
                <c:pt idx="10" formatCode="0.00">
                  <c:v>6.5827207601828197E-3</c:v>
                </c:pt>
                <c:pt idx="11" formatCode="0.00">
                  <c:v>6.4791350832032468E-3</c:v>
                </c:pt>
                <c:pt idx="12" formatCode="0.00">
                  <c:v>6.3755494062236739E-3</c:v>
                </c:pt>
                <c:pt idx="13" formatCode="0.00">
                  <c:v>6.2719637292441011E-3</c:v>
                </c:pt>
                <c:pt idx="14" formatCode="0.00">
                  <c:v>6.1683780522645282E-3</c:v>
                </c:pt>
                <c:pt idx="15" formatCode="0.00">
                  <c:v>6.0647923752849553E-3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316-40FF-A1AA-E9953D293A47}"/>
            </c:ext>
          </c:extLst>
        </c:ser>
        <c:ser>
          <c:idx val="5"/>
          <c:order val="5"/>
          <c:tx>
            <c:strRef>
              <c:f>'Bazis modell FES adatai'!$C$123</c:f>
              <c:strCache>
                <c:ptCount val="1"/>
                <c:pt idx="0">
                  <c:v>Ker-szolg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adatai'!$D$116:$S$116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adatai'!$D$123:$S$123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4.1174048430285541E-2</c:v>
                </c:pt>
                <c:pt idx="2">
                  <c:v>4.2669662590039258E-2</c:v>
                </c:pt>
                <c:pt idx="3">
                  <c:v>4.0239461189776171E-2</c:v>
                </c:pt>
                <c:pt idx="4">
                  <c:v>4.0103546821590959E-2</c:v>
                </c:pt>
                <c:pt idx="5">
                  <c:v>4.0514988835729661E-2</c:v>
                </c:pt>
                <c:pt idx="6">
                  <c:v>3.9446332778406402E-2</c:v>
                </c:pt>
                <c:pt idx="7">
                  <c:v>3.8227519172313179E-2</c:v>
                </c:pt>
                <c:pt idx="8">
                  <c:v>3.6061730239279957E-2</c:v>
                </c:pt>
                <c:pt idx="9">
                  <c:v>3.659225656187548E-2</c:v>
                </c:pt>
                <c:pt idx="10" formatCode="0.00">
                  <c:v>3.5878388851808385E-2</c:v>
                </c:pt>
                <c:pt idx="11" formatCode="0.00">
                  <c:v>3.516452114174129E-2</c:v>
                </c:pt>
                <c:pt idx="12" formatCode="0.00">
                  <c:v>3.4450653431674194E-2</c:v>
                </c:pt>
                <c:pt idx="13" formatCode="0.00">
                  <c:v>3.3736785721606877E-2</c:v>
                </c:pt>
                <c:pt idx="14" formatCode="0.00">
                  <c:v>3.3022918011539781E-2</c:v>
                </c:pt>
                <c:pt idx="15" formatCode="0.00">
                  <c:v>3.2309050301472686E-2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316-40FF-A1AA-E9953D293A47}"/>
            </c:ext>
          </c:extLst>
        </c:ser>
        <c:ser>
          <c:idx val="6"/>
          <c:order val="6"/>
          <c:tx>
            <c:strRef>
              <c:f>'Bazis modell FES adatai'!$C$124</c:f>
              <c:strCache>
                <c:ptCount val="1"/>
                <c:pt idx="0">
                  <c:v>Mező-erdő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adatai'!$D$116:$S$116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adatai'!$D$124:$S$124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4.3530539106351174E-4</c:v>
                </c:pt>
                <c:pt idx="2">
                  <c:v>5.9365279267522067E-4</c:v>
                </c:pt>
                <c:pt idx="3">
                  <c:v>3.8601039875359834E-4</c:v>
                </c:pt>
                <c:pt idx="4">
                  <c:v>2.4450729179530855E-4</c:v>
                </c:pt>
                <c:pt idx="5">
                  <c:v>3.3071878523582317E-4</c:v>
                </c:pt>
                <c:pt idx="6">
                  <c:v>3.7323122039983273E-4</c:v>
                </c:pt>
                <c:pt idx="7">
                  <c:v>4.0419822038854995E-4</c:v>
                </c:pt>
                <c:pt idx="8">
                  <c:v>2.9607214030501905E-4</c:v>
                </c:pt>
                <c:pt idx="9">
                  <c:v>2.8256747695048351E-4</c:v>
                </c:pt>
                <c:pt idx="10" formatCode="0.00">
                  <c:v>2.6025757625568191E-4</c:v>
                </c:pt>
                <c:pt idx="11" formatCode="0.00">
                  <c:v>2.3794767556088031E-4</c:v>
                </c:pt>
                <c:pt idx="12" formatCode="0.00">
                  <c:v>2.1563777486607177E-4</c:v>
                </c:pt>
                <c:pt idx="13" formatCode="0.00">
                  <c:v>1.9332787417127018E-4</c:v>
                </c:pt>
                <c:pt idx="14" formatCode="0.00">
                  <c:v>1.7101797347646164E-4</c:v>
                </c:pt>
                <c:pt idx="15" formatCode="0.00">
                  <c:v>1.4870807278166004E-4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316-40FF-A1AA-E9953D293A47}"/>
            </c:ext>
          </c:extLst>
        </c:ser>
        <c:ser>
          <c:idx val="7"/>
          <c:order val="7"/>
          <c:tx>
            <c:strRef>
              <c:f>'Bazis modell FES adatai'!$C$125</c:f>
              <c:strCache>
                <c:ptCount val="1"/>
                <c:pt idx="0">
                  <c:v>ipar-épip.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adatai'!$D$116:$S$116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adatai'!$D$125:$S$125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3.5215380698601201E-3</c:v>
                </c:pt>
                <c:pt idx="2">
                  <c:v>3.9775940897463901E-3</c:v>
                </c:pt>
                <c:pt idx="3">
                  <c:v>3.9423655986360858E-3</c:v>
                </c:pt>
                <c:pt idx="4">
                  <c:v>4.1943323425766054E-3</c:v>
                </c:pt>
                <c:pt idx="5">
                  <c:v>4.0051520799875614E-3</c:v>
                </c:pt>
                <c:pt idx="6">
                  <c:v>3.6915149399409587E-3</c:v>
                </c:pt>
                <c:pt idx="7">
                  <c:v>3.7849383506859185E-3</c:v>
                </c:pt>
                <c:pt idx="8">
                  <c:v>3.8668815900443397E-3</c:v>
                </c:pt>
                <c:pt idx="9">
                  <c:v>3.9004892955765008E-3</c:v>
                </c:pt>
                <c:pt idx="10" formatCode="0.00">
                  <c:v>3.9065892206635571E-3</c:v>
                </c:pt>
                <c:pt idx="11" formatCode="0.00">
                  <c:v>3.9126891457506134E-3</c:v>
                </c:pt>
                <c:pt idx="12" formatCode="0.00">
                  <c:v>3.9187890708376697E-3</c:v>
                </c:pt>
                <c:pt idx="13" formatCode="0.00">
                  <c:v>3.9248889959247277E-3</c:v>
                </c:pt>
                <c:pt idx="14" formatCode="0.00">
                  <c:v>3.930988921011784E-3</c:v>
                </c:pt>
                <c:pt idx="15" formatCode="0.00">
                  <c:v>3.9370888460988403E-3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6316-40FF-A1AA-E9953D293A47}"/>
            </c:ext>
          </c:extLst>
        </c:ser>
        <c:ser>
          <c:idx val="8"/>
          <c:order val="8"/>
          <c:tx>
            <c:strRef>
              <c:f>'Bazis modell FES adatai'!$C$126</c:f>
              <c:strCache>
                <c:ptCount val="1"/>
                <c:pt idx="0">
                  <c:v>Összeszerelők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adatai'!$D$116:$S$116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adatai'!$D$126:$S$126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2.6133743742302222E-3</c:v>
                </c:pt>
                <c:pt idx="2">
                  <c:v>2.6858367261807484E-3</c:v>
                </c:pt>
                <c:pt idx="3">
                  <c:v>2.7516066646257878E-3</c:v>
                </c:pt>
                <c:pt idx="4">
                  <c:v>2.3560913738698668E-3</c:v>
                </c:pt>
                <c:pt idx="5">
                  <c:v>1.9713675981558954E-3</c:v>
                </c:pt>
                <c:pt idx="6">
                  <c:v>2.1270354819285086E-3</c:v>
                </c:pt>
                <c:pt idx="7">
                  <c:v>1.9649794707237481E-3</c:v>
                </c:pt>
                <c:pt idx="8">
                  <c:v>2.2724703113205353E-3</c:v>
                </c:pt>
                <c:pt idx="9">
                  <c:v>1.9009317479084242E-3</c:v>
                </c:pt>
                <c:pt idx="10" formatCode="0.00">
                  <c:v>1.8027287474148557E-3</c:v>
                </c:pt>
                <c:pt idx="11" formatCode="0.00">
                  <c:v>1.7045257469213149E-3</c:v>
                </c:pt>
                <c:pt idx="12" formatCode="0.00">
                  <c:v>1.6063227464277463E-3</c:v>
                </c:pt>
                <c:pt idx="13" formatCode="0.00">
                  <c:v>1.5081197459342055E-3</c:v>
                </c:pt>
                <c:pt idx="14" formatCode="0.00">
                  <c:v>1.4099167454406369E-3</c:v>
                </c:pt>
                <c:pt idx="15" formatCode="0.00">
                  <c:v>1.3117137449470961E-3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6316-40FF-A1AA-E9953D293A47}"/>
            </c:ext>
          </c:extLst>
        </c:ser>
        <c:ser>
          <c:idx val="9"/>
          <c:order val="9"/>
          <c:tx>
            <c:strRef>
              <c:f>'Bazis modell FES adatai'!$C$127</c:f>
              <c:strCache>
                <c:ptCount val="1"/>
                <c:pt idx="0">
                  <c:v>szakképzetlen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adatai'!$D$116:$S$116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adatai'!$D$127:$S$127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1.167423930832592E-2</c:v>
                </c:pt>
                <c:pt idx="2">
                  <c:v>1.196732173136175E-2</c:v>
                </c:pt>
                <c:pt idx="3">
                  <c:v>1.0575305053662399E-2</c:v>
                </c:pt>
                <c:pt idx="4">
                  <c:v>9.6771481561875941E-3</c:v>
                </c:pt>
                <c:pt idx="5">
                  <c:v>9.3628623631684515E-3</c:v>
                </c:pt>
                <c:pt idx="6">
                  <c:v>1.0531670288528243E-2</c:v>
                </c:pt>
                <c:pt idx="7">
                  <c:v>1.0540017281998482E-2</c:v>
                </c:pt>
                <c:pt idx="8">
                  <c:v>9.3176952994222934E-3</c:v>
                </c:pt>
                <c:pt idx="9">
                  <c:v>9.1659152711767167E-3</c:v>
                </c:pt>
                <c:pt idx="10" formatCode="0.00">
                  <c:v>8.8792781235866869E-3</c:v>
                </c:pt>
                <c:pt idx="11" formatCode="0.00">
                  <c:v>8.5926409759965461E-3</c:v>
                </c:pt>
                <c:pt idx="12" formatCode="0.00">
                  <c:v>8.3060038284065163E-3</c:v>
                </c:pt>
                <c:pt idx="13" formatCode="0.00">
                  <c:v>8.0193666808164865E-3</c:v>
                </c:pt>
                <c:pt idx="14" formatCode="0.00">
                  <c:v>7.7327295332264567E-3</c:v>
                </c:pt>
                <c:pt idx="15" formatCode="0.00">
                  <c:v>7.4460923856364269E-3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6316-40FF-A1AA-E9953D293A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20231839"/>
        <c:axId val="1420224767"/>
      </c:lineChart>
      <c:catAx>
        <c:axId val="14202318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420224767"/>
        <c:crosses val="autoZero"/>
        <c:auto val="1"/>
        <c:lblAlgn val="ctr"/>
        <c:lblOffset val="100"/>
        <c:noMultiLvlLbl val="0"/>
      </c:catAx>
      <c:valAx>
        <c:axId val="14202247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4202318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1400">
          <a:solidFill>
            <a:sysClr val="windowText" lastClr="000000"/>
          </a:solidFill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'Bazis modell FES adatai'!$D$117</c:f>
          <c:strCache>
            <c:ptCount val="1"/>
            <c:pt idx="0">
              <c:v>Downstream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'Bazis modell FES adatai'!$C$131</c:f>
              <c:strCache>
                <c:ptCount val="1"/>
                <c:pt idx="0">
                  <c:v>0-7 osztály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adatai'!$D$116:$S$116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adatai'!$D$131:$S$131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1.4522274038188837E-4</c:v>
                </c:pt>
                <c:pt idx="2">
                  <c:v>1.7158612148294867E-4</c:v>
                </c:pt>
                <c:pt idx="3">
                  <c:v>1.3038023092639873E-4</c:v>
                </c:pt>
                <c:pt idx="4">
                  <c:v>1.3044370172889978E-4</c:v>
                </c:pt>
                <c:pt idx="5">
                  <c:v>1.2145319637306594E-4</c:v>
                </c:pt>
                <c:pt idx="6">
                  <c:v>2.134684968939265E-4</c:v>
                </c:pt>
                <c:pt idx="7">
                  <c:v>2.5369077595653898E-4</c:v>
                </c:pt>
                <c:pt idx="8">
                  <c:v>2.086501119676825E-4</c:v>
                </c:pt>
                <c:pt idx="9">
                  <c:v>2.3051134157187764E-4</c:v>
                </c:pt>
                <c:pt idx="10" formatCode="0.00">
                  <c:v>2.4354454592919947E-4</c:v>
                </c:pt>
                <c:pt idx="11" formatCode="0.00">
                  <c:v>2.5657775028652477E-4</c:v>
                </c:pt>
                <c:pt idx="12" formatCode="0.00">
                  <c:v>2.6961095464385007E-4</c:v>
                </c:pt>
                <c:pt idx="13" formatCode="0.00">
                  <c:v>2.8264415900117537E-4</c:v>
                </c:pt>
                <c:pt idx="14" formatCode="0.00">
                  <c:v>2.956773633584972E-4</c:v>
                </c:pt>
                <c:pt idx="15" formatCode="0.00">
                  <c:v>3.087105677158225E-4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28-4EAB-8C15-3C15A83B0EE7}"/>
            </c:ext>
          </c:extLst>
        </c:ser>
        <c:ser>
          <c:idx val="1"/>
          <c:order val="1"/>
          <c:tx>
            <c:strRef>
              <c:f>'Bazis modell FES adatai'!$C$132</c:f>
              <c:strCache>
                <c:ptCount val="1"/>
                <c:pt idx="0">
                  <c:v>8 osztály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adatai'!$D$116:$S$116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adatai'!$D$132:$S$132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9.7779985914718433E-3</c:v>
                </c:pt>
                <c:pt idx="2">
                  <c:v>8.8471026544651287E-3</c:v>
                </c:pt>
                <c:pt idx="3">
                  <c:v>7.9032179464333784E-3</c:v>
                </c:pt>
                <c:pt idx="4">
                  <c:v>7.6836373790134934E-3</c:v>
                </c:pt>
                <c:pt idx="5">
                  <c:v>7.5924326058551652E-3</c:v>
                </c:pt>
                <c:pt idx="6">
                  <c:v>7.9587334595977149E-3</c:v>
                </c:pt>
                <c:pt idx="7">
                  <c:v>7.8194523370755508E-3</c:v>
                </c:pt>
                <c:pt idx="8">
                  <c:v>7.1111144971441843E-3</c:v>
                </c:pt>
                <c:pt idx="9">
                  <c:v>6.8154023366906458E-3</c:v>
                </c:pt>
                <c:pt idx="10" formatCode="0.00">
                  <c:v>6.5328892595369892E-3</c:v>
                </c:pt>
                <c:pt idx="11" formatCode="0.00">
                  <c:v>6.2503761823833326E-3</c:v>
                </c:pt>
                <c:pt idx="12" formatCode="0.00">
                  <c:v>5.967863105229676E-3</c:v>
                </c:pt>
                <c:pt idx="13" formatCode="0.00">
                  <c:v>5.6853500280760194E-3</c:v>
                </c:pt>
                <c:pt idx="14" formatCode="0.00">
                  <c:v>5.4028369509223628E-3</c:v>
                </c:pt>
                <c:pt idx="15" formatCode="0.00">
                  <c:v>5.1203238737687062E-3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728-4EAB-8C15-3C15A83B0EE7}"/>
            </c:ext>
          </c:extLst>
        </c:ser>
        <c:ser>
          <c:idx val="2"/>
          <c:order val="2"/>
          <c:tx>
            <c:strRef>
              <c:f>'Bazis modell FES adatai'!$C$133</c:f>
              <c:strCache>
                <c:ptCount val="1"/>
                <c:pt idx="0">
                  <c:v>szakiskola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adatai'!$D$116:$S$116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adatai'!$D$133:$S$133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2.7817003200932267E-2</c:v>
                </c:pt>
                <c:pt idx="2">
                  <c:v>2.8574969269390269E-2</c:v>
                </c:pt>
                <c:pt idx="3">
                  <c:v>2.6872303199390626E-2</c:v>
                </c:pt>
                <c:pt idx="4">
                  <c:v>2.5479007751760048E-2</c:v>
                </c:pt>
                <c:pt idx="5">
                  <c:v>2.4538657750302385E-2</c:v>
                </c:pt>
                <c:pt idx="6">
                  <c:v>2.3930623291588422E-2</c:v>
                </c:pt>
                <c:pt idx="7">
                  <c:v>2.3460185962450131E-2</c:v>
                </c:pt>
                <c:pt idx="8">
                  <c:v>2.3384746604658675E-2</c:v>
                </c:pt>
                <c:pt idx="9">
                  <c:v>2.1951913784158172E-2</c:v>
                </c:pt>
                <c:pt idx="10" formatCode="0.00">
                  <c:v>2.1161853040902567E-2</c:v>
                </c:pt>
                <c:pt idx="11" formatCode="0.00">
                  <c:v>2.037179229764674E-2</c:v>
                </c:pt>
                <c:pt idx="12" formatCode="0.00">
                  <c:v>1.9581731554391135E-2</c:v>
                </c:pt>
                <c:pt idx="13" formatCode="0.00">
                  <c:v>1.8791670811135308E-2</c:v>
                </c:pt>
                <c:pt idx="14" formatCode="0.00">
                  <c:v>1.8001610067879703E-2</c:v>
                </c:pt>
                <c:pt idx="15" formatCode="0.00">
                  <c:v>1.7211549324623876E-2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728-4EAB-8C15-3C15A83B0EE7}"/>
            </c:ext>
          </c:extLst>
        </c:ser>
        <c:ser>
          <c:idx val="3"/>
          <c:order val="3"/>
          <c:tx>
            <c:strRef>
              <c:f>'Bazis modell FES adatai'!$C$134</c:f>
              <c:strCache>
                <c:ptCount val="1"/>
                <c:pt idx="0">
                  <c:v>Gimnázium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adatai'!$D$116:$S$116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adatai'!$D$134:$S$134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1.402048003457072E-2</c:v>
                </c:pt>
                <c:pt idx="2">
                  <c:v>1.4453885206904989E-2</c:v>
                </c:pt>
                <c:pt idx="3">
                  <c:v>1.4055767283304148E-2</c:v>
                </c:pt>
                <c:pt idx="4">
                  <c:v>1.5360279085337799E-2</c:v>
                </c:pt>
                <c:pt idx="5">
                  <c:v>1.6981350101443093E-2</c:v>
                </c:pt>
                <c:pt idx="6">
                  <c:v>1.755605078262458E-2</c:v>
                </c:pt>
                <c:pt idx="7">
                  <c:v>1.6563287105017074E-2</c:v>
                </c:pt>
                <c:pt idx="8">
                  <c:v>1.5303879213536041E-2</c:v>
                </c:pt>
                <c:pt idx="9">
                  <c:v>1.7232554061809346E-2</c:v>
                </c:pt>
                <c:pt idx="10" formatCode="0.00">
                  <c:v>1.7609372219635322E-2</c:v>
                </c:pt>
                <c:pt idx="11" formatCode="0.00">
                  <c:v>1.7986190377461297E-2</c:v>
                </c:pt>
                <c:pt idx="12" formatCode="0.00">
                  <c:v>1.8363008535287384E-2</c:v>
                </c:pt>
                <c:pt idx="13" formatCode="0.00">
                  <c:v>1.8739826693113359E-2</c:v>
                </c:pt>
                <c:pt idx="14" formatCode="0.00">
                  <c:v>1.9116644850939335E-2</c:v>
                </c:pt>
                <c:pt idx="15" formatCode="0.00">
                  <c:v>1.949346300876531E-2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728-4EAB-8C15-3C15A83B0EE7}"/>
            </c:ext>
          </c:extLst>
        </c:ser>
        <c:ser>
          <c:idx val="4"/>
          <c:order val="4"/>
          <c:tx>
            <c:strRef>
              <c:f>'Bazis modell FES adatai'!$C$135</c:f>
              <c:strCache>
                <c:ptCount val="1"/>
                <c:pt idx="0">
                  <c:v>Technikum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adatai'!$D$116:$S$116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adatai'!$D$135:$S$135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3.45601095702322E-2</c:v>
                </c:pt>
                <c:pt idx="2">
                  <c:v>3.6492932613029765E-2</c:v>
                </c:pt>
                <c:pt idx="3">
                  <c:v>3.3631288671425161E-2</c:v>
                </c:pt>
                <c:pt idx="4">
                  <c:v>3.3585883328469464E-2</c:v>
                </c:pt>
                <c:pt idx="5">
                  <c:v>3.1146107407160502E-2</c:v>
                </c:pt>
                <c:pt idx="6">
                  <c:v>3.0790300768484408E-2</c:v>
                </c:pt>
                <c:pt idx="7">
                  <c:v>2.9840558511852723E-2</c:v>
                </c:pt>
                <c:pt idx="8">
                  <c:v>2.7476714796399147E-2</c:v>
                </c:pt>
                <c:pt idx="9">
                  <c:v>2.7165038375193351E-2</c:v>
                </c:pt>
                <c:pt idx="10" formatCode="0.00">
                  <c:v>2.6048272023373453E-2</c:v>
                </c:pt>
                <c:pt idx="11" formatCode="0.00">
                  <c:v>2.4931505671554E-2</c:v>
                </c:pt>
                <c:pt idx="12" formatCode="0.00">
                  <c:v>2.3814739319734546E-2</c:v>
                </c:pt>
                <c:pt idx="13" formatCode="0.00">
                  <c:v>2.2697972967914648E-2</c:v>
                </c:pt>
                <c:pt idx="14" formatCode="0.00">
                  <c:v>2.1581206616095194E-2</c:v>
                </c:pt>
                <c:pt idx="15" formatCode="0.00">
                  <c:v>2.0464440264275296E-2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728-4EAB-8C15-3C15A83B0EE7}"/>
            </c:ext>
          </c:extLst>
        </c:ser>
        <c:ser>
          <c:idx val="5"/>
          <c:order val="5"/>
          <c:tx>
            <c:strRef>
              <c:f>'Bazis modell FES adatai'!$C$136</c:f>
              <c:strCache>
                <c:ptCount val="1"/>
                <c:pt idx="0">
                  <c:v>Főiskola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adatai'!$D$116:$S$116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adatai'!$D$136:$S$136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2.841168170558165E-2</c:v>
                </c:pt>
                <c:pt idx="2">
                  <c:v>3.0269347494374075E-2</c:v>
                </c:pt>
                <c:pt idx="3">
                  <c:v>2.8758216973869422E-2</c:v>
                </c:pt>
                <c:pt idx="4">
                  <c:v>2.9395901953053211E-2</c:v>
                </c:pt>
                <c:pt idx="5">
                  <c:v>2.9497790469825837E-2</c:v>
                </c:pt>
                <c:pt idx="6">
                  <c:v>2.8227642937724583E-2</c:v>
                </c:pt>
                <c:pt idx="7">
                  <c:v>2.5987567934393239E-2</c:v>
                </c:pt>
                <c:pt idx="8">
                  <c:v>2.4864963756055139E-2</c:v>
                </c:pt>
                <c:pt idx="9">
                  <c:v>2.5619902168917852E-2</c:v>
                </c:pt>
                <c:pt idx="10" formatCode="0.00">
                  <c:v>2.5051738394652912E-2</c:v>
                </c:pt>
                <c:pt idx="11" formatCode="0.00">
                  <c:v>2.4483574620387971E-2</c:v>
                </c:pt>
                <c:pt idx="12" formatCode="0.00">
                  <c:v>2.3915410846123031E-2</c:v>
                </c:pt>
                <c:pt idx="13" formatCode="0.00">
                  <c:v>2.3347247071858312E-2</c:v>
                </c:pt>
                <c:pt idx="14" formatCode="0.00">
                  <c:v>2.2779083297593372E-2</c:v>
                </c:pt>
                <c:pt idx="15" formatCode="0.00">
                  <c:v>2.2210919523328432E-2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728-4EAB-8C15-3C15A83B0EE7}"/>
            </c:ext>
          </c:extLst>
        </c:ser>
        <c:ser>
          <c:idx val="6"/>
          <c:order val="6"/>
          <c:tx>
            <c:strRef>
              <c:f>'Bazis modell FES adatai'!$C$137</c:f>
              <c:strCache>
                <c:ptCount val="1"/>
                <c:pt idx="0">
                  <c:v>Egyetem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adatai'!$D$116:$S$116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adatai'!$D$137:$S$137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1.7833098537838387E-2</c:v>
                </c:pt>
                <c:pt idx="2">
                  <c:v>1.7914220756660149E-2</c:v>
                </c:pt>
                <c:pt idx="3">
                  <c:v>1.7731711405990225E-2</c:v>
                </c:pt>
                <c:pt idx="4">
                  <c:v>1.8356303884105293E-2</c:v>
                </c:pt>
                <c:pt idx="5">
                  <c:v>1.850705950109497E-2</c:v>
                </c:pt>
                <c:pt idx="6">
                  <c:v>1.7334215659312639E-2</c:v>
                </c:pt>
                <c:pt idx="7">
                  <c:v>1.7187873947834675E-2</c:v>
                </c:pt>
                <c:pt idx="8">
                  <c:v>1.8796310293041886E-2</c:v>
                </c:pt>
                <c:pt idx="9">
                  <c:v>1.8068439424266253E-2</c:v>
                </c:pt>
                <c:pt idx="10" formatCode="0.00">
                  <c:v>1.8093070574495468E-2</c:v>
                </c:pt>
                <c:pt idx="11" formatCode="0.00">
                  <c:v>1.8117701724724683E-2</c:v>
                </c:pt>
                <c:pt idx="12" formatCode="0.00">
                  <c:v>1.8142332874953891E-2</c:v>
                </c:pt>
                <c:pt idx="13" formatCode="0.00">
                  <c:v>1.8166964025183106E-2</c:v>
                </c:pt>
                <c:pt idx="14" formatCode="0.00">
                  <c:v>1.8191595175412321E-2</c:v>
                </c:pt>
                <c:pt idx="15" formatCode="0.00">
                  <c:v>1.8216226325641537E-2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728-4EAB-8C15-3C15A83B0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4718239"/>
        <c:axId val="1534718655"/>
      </c:lineChart>
      <c:catAx>
        <c:axId val="15347182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534718655"/>
        <c:crosses val="autoZero"/>
        <c:auto val="1"/>
        <c:lblAlgn val="ctr"/>
        <c:lblOffset val="100"/>
        <c:noMultiLvlLbl val="0"/>
      </c:catAx>
      <c:valAx>
        <c:axId val="15347186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5347182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1400">
          <a:solidFill>
            <a:sysClr val="windowText" lastClr="000000"/>
          </a:solidFill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'Bazis modell FES adatai'!$D$142</c:f>
          <c:strCache>
            <c:ptCount val="1"/>
            <c:pt idx="0">
              <c:v>Összesen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'Bazis modell FES adatai'!$C$143</c:f>
              <c:strCache>
                <c:ptCount val="1"/>
                <c:pt idx="0">
                  <c:v>Fegyveresek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adatai'!$D$141:$S$141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adatai'!$D$143:$S$143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1.8782307516812861E-4</c:v>
                </c:pt>
                <c:pt idx="2">
                  <c:v>1.9559618235376539E-4</c:v>
                </c:pt>
                <c:pt idx="3">
                  <c:v>2.0602116167871761E-4</c:v>
                </c:pt>
                <c:pt idx="4">
                  <c:v>2.1093410553185482E-4</c:v>
                </c:pt>
                <c:pt idx="5">
                  <c:v>1.6118574056460272E-4</c:v>
                </c:pt>
                <c:pt idx="6">
                  <c:v>1.5210329488910988E-4</c:v>
                </c:pt>
                <c:pt idx="7">
                  <c:v>1.7348042804417131E-4</c:v>
                </c:pt>
                <c:pt idx="8">
                  <c:v>1.1154639374168201E-4</c:v>
                </c:pt>
                <c:pt idx="9">
                  <c:v>1.2897821702137144E-4</c:v>
                </c:pt>
                <c:pt idx="10" formatCode="0.00">
                  <c:v>1.1878753241578374E-4</c:v>
                </c:pt>
                <c:pt idx="11" formatCode="0.00">
                  <c:v>1.0859684781019951E-4</c:v>
                </c:pt>
                <c:pt idx="12" formatCode="0.00">
                  <c:v>9.8406163204615288E-5</c:v>
                </c:pt>
                <c:pt idx="13" formatCode="0.00">
                  <c:v>8.8215478599027591E-5</c:v>
                </c:pt>
                <c:pt idx="14" formatCode="0.00">
                  <c:v>7.8024793993443364E-5</c:v>
                </c:pt>
                <c:pt idx="15" formatCode="0.00">
                  <c:v>6.7834109387859137E-5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22-4E60-B1B3-C6DDF6A370C8}"/>
            </c:ext>
          </c:extLst>
        </c:ser>
        <c:ser>
          <c:idx val="1"/>
          <c:order val="1"/>
          <c:tx>
            <c:strRef>
              <c:f>'Bazis modell FES adatai'!$C$144</c:f>
              <c:strCache>
                <c:ptCount val="1"/>
                <c:pt idx="0">
                  <c:v>Vezetők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adatai'!$D$141:$S$141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adatai'!$D$144:$S$144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3.3463834627616702E-3</c:v>
                </c:pt>
                <c:pt idx="2">
                  <c:v>3.0074568940924007E-3</c:v>
                </c:pt>
                <c:pt idx="3">
                  <c:v>2.9630042537061368E-3</c:v>
                </c:pt>
                <c:pt idx="4">
                  <c:v>3.0066037053708364E-3</c:v>
                </c:pt>
                <c:pt idx="5">
                  <c:v>2.8292581237905198E-3</c:v>
                </c:pt>
                <c:pt idx="6">
                  <c:v>2.8007282975000092E-3</c:v>
                </c:pt>
                <c:pt idx="7">
                  <c:v>2.6542913432294232E-3</c:v>
                </c:pt>
                <c:pt idx="8">
                  <c:v>2.4280022432798744E-3</c:v>
                </c:pt>
                <c:pt idx="9">
                  <c:v>2.4048944472045974E-3</c:v>
                </c:pt>
                <c:pt idx="10" formatCode="0.00">
                  <c:v>2.2994340931464241E-3</c:v>
                </c:pt>
                <c:pt idx="11" formatCode="0.00">
                  <c:v>2.1939737390882508E-3</c:v>
                </c:pt>
                <c:pt idx="12" formatCode="0.00">
                  <c:v>2.0885133850301052E-3</c:v>
                </c:pt>
                <c:pt idx="13" formatCode="0.00">
                  <c:v>1.9830530309719319E-3</c:v>
                </c:pt>
                <c:pt idx="14" formatCode="0.00">
                  <c:v>1.8775926769137585E-3</c:v>
                </c:pt>
                <c:pt idx="15" formatCode="0.00">
                  <c:v>1.7721323228555852E-3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22-4E60-B1B3-C6DDF6A370C8}"/>
            </c:ext>
          </c:extLst>
        </c:ser>
        <c:ser>
          <c:idx val="2"/>
          <c:order val="2"/>
          <c:tx>
            <c:strRef>
              <c:f>'Bazis modell FES adatai'!$C$145</c:f>
              <c:strCache>
                <c:ptCount val="1"/>
                <c:pt idx="0">
                  <c:v>Felsőfokúak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adatai'!$D$141:$S$141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adatai'!$D$145:$S$145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9.2964699604833993E-3</c:v>
                </c:pt>
                <c:pt idx="2">
                  <c:v>9.8646552462392807E-3</c:v>
                </c:pt>
                <c:pt idx="3">
                  <c:v>1.0141049827193271E-2</c:v>
                </c:pt>
                <c:pt idx="4">
                  <c:v>9.6898175584081807E-3</c:v>
                </c:pt>
                <c:pt idx="5">
                  <c:v>9.5004737977362527E-3</c:v>
                </c:pt>
                <c:pt idx="6">
                  <c:v>9.1480524175938799E-3</c:v>
                </c:pt>
                <c:pt idx="7">
                  <c:v>8.5434143136597987E-3</c:v>
                </c:pt>
                <c:pt idx="8">
                  <c:v>8.4684200963072859E-3</c:v>
                </c:pt>
                <c:pt idx="9">
                  <c:v>8.4973893467598094E-3</c:v>
                </c:pt>
                <c:pt idx="10" formatCode="0.00">
                  <c:v>8.3120216122169466E-3</c:v>
                </c:pt>
                <c:pt idx="11" formatCode="0.00">
                  <c:v>8.1266538776740838E-3</c:v>
                </c:pt>
                <c:pt idx="12" formatCode="0.00">
                  <c:v>7.9412861431312209E-3</c:v>
                </c:pt>
                <c:pt idx="13" formatCode="0.00">
                  <c:v>7.7559184085883581E-3</c:v>
                </c:pt>
                <c:pt idx="14" formatCode="0.00">
                  <c:v>7.5705506740454953E-3</c:v>
                </c:pt>
                <c:pt idx="15" formatCode="0.00">
                  <c:v>7.3851829395026325E-3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22-4E60-B1B3-C6DDF6A370C8}"/>
            </c:ext>
          </c:extLst>
        </c:ser>
        <c:ser>
          <c:idx val="3"/>
          <c:order val="3"/>
          <c:tx>
            <c:strRef>
              <c:f>'Bazis modell FES adatai'!$C$146</c:f>
              <c:strCache>
                <c:ptCount val="1"/>
                <c:pt idx="0">
                  <c:v>Egyéb felső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adatai'!$D$141:$S$141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adatai'!$D$146:$S$146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8.7113306418310325E-3</c:v>
                </c:pt>
                <c:pt idx="2">
                  <c:v>9.2680350183677093E-3</c:v>
                </c:pt>
                <c:pt idx="3">
                  <c:v>9.9640783621872449E-3</c:v>
                </c:pt>
                <c:pt idx="4">
                  <c:v>9.8579155825231513E-3</c:v>
                </c:pt>
                <c:pt idx="5">
                  <c:v>9.46640002893466E-3</c:v>
                </c:pt>
                <c:pt idx="6">
                  <c:v>9.6325011325220939E-3</c:v>
                </c:pt>
                <c:pt idx="7">
                  <c:v>9.362337208116054E-3</c:v>
                </c:pt>
                <c:pt idx="8">
                  <c:v>8.6825431482690524E-3</c:v>
                </c:pt>
                <c:pt idx="9">
                  <c:v>9.3083436002308652E-3</c:v>
                </c:pt>
                <c:pt idx="10" formatCode="0.00">
                  <c:v>9.2950549246501972E-3</c:v>
                </c:pt>
                <c:pt idx="11" formatCode="0.00">
                  <c:v>9.2817662490695292E-3</c:v>
                </c:pt>
                <c:pt idx="12" formatCode="0.00">
                  <c:v>9.2684775734888612E-3</c:v>
                </c:pt>
                <c:pt idx="13" formatCode="0.00">
                  <c:v>9.2551888979081967E-3</c:v>
                </c:pt>
                <c:pt idx="14" formatCode="0.00">
                  <c:v>9.2419002223275287E-3</c:v>
                </c:pt>
                <c:pt idx="15" formatCode="0.00">
                  <c:v>9.2286115467468607E-3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22-4E60-B1B3-C6DDF6A370C8}"/>
            </c:ext>
          </c:extLst>
        </c:ser>
        <c:ser>
          <c:idx val="4"/>
          <c:order val="4"/>
          <c:tx>
            <c:strRef>
              <c:f>'Bazis modell FES adatai'!$C$147</c:f>
              <c:strCache>
                <c:ptCount val="1"/>
                <c:pt idx="0">
                  <c:v>Iroda-ügyvitel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adatai'!$D$141:$S$141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adatai'!$D$147:$S$147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4.1886464712425873E-3</c:v>
                </c:pt>
                <c:pt idx="2">
                  <c:v>4.25335110794122E-3</c:v>
                </c:pt>
                <c:pt idx="3">
                  <c:v>4.1313918028144042E-3</c:v>
                </c:pt>
                <c:pt idx="4">
                  <c:v>4.1607167540775548E-3</c:v>
                </c:pt>
                <c:pt idx="5">
                  <c:v>4.0540168215328258E-3</c:v>
                </c:pt>
                <c:pt idx="6">
                  <c:v>4.030541809040989E-3</c:v>
                </c:pt>
                <c:pt idx="7">
                  <c:v>3.7592207326498017E-3</c:v>
                </c:pt>
                <c:pt idx="8">
                  <c:v>3.8353475605939617E-3</c:v>
                </c:pt>
                <c:pt idx="9">
                  <c:v>3.7648865879404692E-3</c:v>
                </c:pt>
                <c:pt idx="10" formatCode="0.00">
                  <c:v>3.7011604669301978E-3</c:v>
                </c:pt>
                <c:pt idx="11" formatCode="0.00">
                  <c:v>3.6374343459199265E-3</c:v>
                </c:pt>
                <c:pt idx="12" formatCode="0.00">
                  <c:v>3.5737082249096552E-3</c:v>
                </c:pt>
                <c:pt idx="13" formatCode="0.00">
                  <c:v>3.5099821038993839E-3</c:v>
                </c:pt>
                <c:pt idx="14" formatCode="0.00">
                  <c:v>3.4462559828891126E-3</c:v>
                </c:pt>
                <c:pt idx="15" formatCode="0.00">
                  <c:v>3.3825298618788691E-3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822-4E60-B1B3-C6DDF6A370C8}"/>
            </c:ext>
          </c:extLst>
        </c:ser>
        <c:ser>
          <c:idx val="5"/>
          <c:order val="5"/>
          <c:tx>
            <c:strRef>
              <c:f>'Bazis modell FES adatai'!$C$148</c:f>
              <c:strCache>
                <c:ptCount val="1"/>
                <c:pt idx="0">
                  <c:v>Ker-szolg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adatai'!$D$141:$S$141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adatai'!$D$148:$S$148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8.6906590266970715E-3</c:v>
                </c:pt>
                <c:pt idx="2">
                  <c:v>9.2088693677773031E-3</c:v>
                </c:pt>
                <c:pt idx="3">
                  <c:v>9.3379302153330929E-3</c:v>
                </c:pt>
                <c:pt idx="4">
                  <c:v>8.9080175500883263E-3</c:v>
                </c:pt>
                <c:pt idx="5">
                  <c:v>8.6486008355886115E-3</c:v>
                </c:pt>
                <c:pt idx="6">
                  <c:v>8.5867141744192989E-3</c:v>
                </c:pt>
                <c:pt idx="7">
                  <c:v>8.220482529983553E-3</c:v>
                </c:pt>
                <c:pt idx="8">
                  <c:v>7.7142694777493923E-3</c:v>
                </c:pt>
                <c:pt idx="9">
                  <c:v>7.8989218685164841E-3</c:v>
                </c:pt>
                <c:pt idx="10" formatCode="0.00">
                  <c:v>7.7288060843636042E-3</c:v>
                </c:pt>
                <c:pt idx="11" formatCode="0.00">
                  <c:v>7.5586903002107242E-3</c:v>
                </c:pt>
                <c:pt idx="12" formatCode="0.00">
                  <c:v>7.3885745160577887E-3</c:v>
                </c:pt>
                <c:pt idx="13" formatCode="0.00">
                  <c:v>7.2184587319049087E-3</c:v>
                </c:pt>
                <c:pt idx="14" formatCode="0.00">
                  <c:v>7.0483429477520287E-3</c:v>
                </c:pt>
                <c:pt idx="15" formatCode="0.00">
                  <c:v>6.8782271635990933E-3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822-4E60-B1B3-C6DDF6A370C8}"/>
            </c:ext>
          </c:extLst>
        </c:ser>
        <c:ser>
          <c:idx val="6"/>
          <c:order val="6"/>
          <c:tx>
            <c:strRef>
              <c:f>'Bazis modell FES adatai'!$C$149</c:f>
              <c:strCache>
                <c:ptCount val="1"/>
                <c:pt idx="0">
                  <c:v>Mező-erdő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adatai'!$D$141:$S$141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adatai'!$D$149:$S$149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1.5855362826033511E-3</c:v>
                </c:pt>
                <c:pt idx="2">
                  <c:v>1.7213740888795028E-3</c:v>
                </c:pt>
                <c:pt idx="3">
                  <c:v>1.4761231534591288E-3</c:v>
                </c:pt>
                <c:pt idx="4">
                  <c:v>1.3996693377736154E-3</c:v>
                </c:pt>
                <c:pt idx="5">
                  <c:v>1.4569949287982955E-3</c:v>
                </c:pt>
                <c:pt idx="6">
                  <c:v>1.6537393032182389E-3</c:v>
                </c:pt>
                <c:pt idx="7">
                  <c:v>1.5538098324921167E-3</c:v>
                </c:pt>
                <c:pt idx="8">
                  <c:v>1.543363623968485E-3</c:v>
                </c:pt>
                <c:pt idx="9">
                  <c:v>1.5197447553948612E-3</c:v>
                </c:pt>
                <c:pt idx="10" formatCode="0.00">
                  <c:v>1.5132821857272542E-3</c:v>
                </c:pt>
                <c:pt idx="11" formatCode="0.00">
                  <c:v>1.5068196160596473E-3</c:v>
                </c:pt>
                <c:pt idx="12" formatCode="0.00">
                  <c:v>1.500357046392042E-3</c:v>
                </c:pt>
                <c:pt idx="13" formatCode="0.00">
                  <c:v>1.4938944767244351E-3</c:v>
                </c:pt>
                <c:pt idx="14" formatCode="0.00">
                  <c:v>1.4874319070568281E-3</c:v>
                </c:pt>
                <c:pt idx="15" formatCode="0.00">
                  <c:v>1.4809693373892211E-3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822-4E60-B1B3-C6DDF6A370C8}"/>
            </c:ext>
          </c:extLst>
        </c:ser>
        <c:ser>
          <c:idx val="7"/>
          <c:order val="7"/>
          <c:tx>
            <c:strRef>
              <c:f>'Bazis modell FES adatai'!$C$150</c:f>
              <c:strCache>
                <c:ptCount val="1"/>
                <c:pt idx="0">
                  <c:v>ipar-épip.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adatai'!$D$141:$S$141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adatai'!$D$150:$S$150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8.2958701806858173E-3</c:v>
                </c:pt>
                <c:pt idx="2">
                  <c:v>8.1345028709220307E-3</c:v>
                </c:pt>
                <c:pt idx="3">
                  <c:v>8.2282253217454537E-3</c:v>
                </c:pt>
                <c:pt idx="4">
                  <c:v>8.0891946049922274E-3</c:v>
                </c:pt>
                <c:pt idx="5">
                  <c:v>7.9086496412295853E-3</c:v>
                </c:pt>
                <c:pt idx="6">
                  <c:v>7.5960318437157332E-3</c:v>
                </c:pt>
                <c:pt idx="7">
                  <c:v>7.5564984627890779E-3</c:v>
                </c:pt>
                <c:pt idx="8">
                  <c:v>7.3813128951877079E-3</c:v>
                </c:pt>
                <c:pt idx="9">
                  <c:v>7.2897295613904012E-3</c:v>
                </c:pt>
                <c:pt idx="10" formatCode="0.00">
                  <c:v>7.1543837466641613E-3</c:v>
                </c:pt>
                <c:pt idx="11" formatCode="0.00">
                  <c:v>7.0190379319379215E-3</c:v>
                </c:pt>
                <c:pt idx="12" formatCode="0.00">
                  <c:v>6.8836921172116816E-3</c:v>
                </c:pt>
                <c:pt idx="13" formatCode="0.00">
                  <c:v>6.7483463024854973E-3</c:v>
                </c:pt>
                <c:pt idx="14" formatCode="0.00">
                  <c:v>6.6130004877592574E-3</c:v>
                </c:pt>
                <c:pt idx="15" formatCode="0.00">
                  <c:v>6.4776546730330176E-3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822-4E60-B1B3-C6DDF6A370C8}"/>
            </c:ext>
          </c:extLst>
        </c:ser>
        <c:ser>
          <c:idx val="8"/>
          <c:order val="8"/>
          <c:tx>
            <c:strRef>
              <c:f>'Bazis modell FES adatai'!$C$151</c:f>
              <c:strCache>
                <c:ptCount val="1"/>
                <c:pt idx="0">
                  <c:v>Összeszerelők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adatai'!$D$141:$S$141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adatai'!$D$151:$S$151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7.7876916752076661E-3</c:v>
                </c:pt>
                <c:pt idx="2">
                  <c:v>7.9513239737474765E-3</c:v>
                </c:pt>
                <c:pt idx="3">
                  <c:v>8.2375413148223081E-3</c:v>
                </c:pt>
                <c:pt idx="4">
                  <c:v>8.0315010318184835E-3</c:v>
                </c:pt>
                <c:pt idx="5">
                  <c:v>7.6465216180574783E-3</c:v>
                </c:pt>
                <c:pt idx="6">
                  <c:v>8.1352639984024842E-3</c:v>
                </c:pt>
                <c:pt idx="7">
                  <c:v>8.0362245497457852E-3</c:v>
                </c:pt>
                <c:pt idx="8">
                  <c:v>7.932772235055497E-3</c:v>
                </c:pt>
                <c:pt idx="9">
                  <c:v>8.0099401622449606E-3</c:v>
                </c:pt>
                <c:pt idx="10" formatCode="0.00">
                  <c:v>8.0188479650533627E-3</c:v>
                </c:pt>
                <c:pt idx="11" formatCode="0.00">
                  <c:v>8.0277557678617682E-3</c:v>
                </c:pt>
                <c:pt idx="12" formatCode="0.00">
                  <c:v>8.0366635706701703E-3</c:v>
                </c:pt>
                <c:pt idx="13" formatCode="0.00">
                  <c:v>8.0455713734785758E-3</c:v>
                </c:pt>
                <c:pt idx="14" formatCode="0.00">
                  <c:v>8.0544791762869779E-3</c:v>
                </c:pt>
                <c:pt idx="15" formatCode="0.00">
                  <c:v>8.0633869790953799E-3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A822-4E60-B1B3-C6DDF6A370C8}"/>
            </c:ext>
          </c:extLst>
        </c:ser>
        <c:ser>
          <c:idx val="9"/>
          <c:order val="9"/>
          <c:tx>
            <c:strRef>
              <c:f>'Bazis modell FES adatai'!$C$152</c:f>
              <c:strCache>
                <c:ptCount val="1"/>
                <c:pt idx="0">
                  <c:v>szakképzetlen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adatai'!$D$141:$S$141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adatai'!$D$152:$S$152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4.7379185874851567E-3</c:v>
                </c:pt>
                <c:pt idx="2">
                  <c:v>4.7075715692717632E-3</c:v>
                </c:pt>
                <c:pt idx="3">
                  <c:v>4.670763499373556E-3</c:v>
                </c:pt>
                <c:pt idx="4">
                  <c:v>4.4142302567174857E-3</c:v>
                </c:pt>
                <c:pt idx="5">
                  <c:v>4.1985896237867392E-3</c:v>
                </c:pt>
                <c:pt idx="6">
                  <c:v>4.3232694318343715E-3</c:v>
                </c:pt>
                <c:pt idx="7">
                  <c:v>4.3272990606660977E-3</c:v>
                </c:pt>
                <c:pt idx="8">
                  <c:v>4.0669152016391107E-3</c:v>
                </c:pt>
                <c:pt idx="9">
                  <c:v>4.0099352388736076E-3</c:v>
                </c:pt>
                <c:pt idx="10" formatCode="0.00">
                  <c:v>3.9164053688795775E-3</c:v>
                </c:pt>
                <c:pt idx="11" formatCode="0.00">
                  <c:v>3.8228754988855473E-3</c:v>
                </c:pt>
                <c:pt idx="12" formatCode="0.00">
                  <c:v>3.7293456288915172E-3</c:v>
                </c:pt>
                <c:pt idx="13" formatCode="0.00">
                  <c:v>3.6358157588974593E-3</c:v>
                </c:pt>
                <c:pt idx="14" formatCode="0.00">
                  <c:v>3.5422858889034292E-3</c:v>
                </c:pt>
                <c:pt idx="15" formatCode="0.00">
                  <c:v>3.4487560189093991E-3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A822-4E60-B1B3-C6DDF6A370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3976591"/>
        <c:axId val="1253971183"/>
      </c:lineChart>
      <c:catAx>
        <c:axId val="12539765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253971183"/>
        <c:crosses val="autoZero"/>
        <c:auto val="1"/>
        <c:lblAlgn val="ctr"/>
        <c:lblOffset val="100"/>
        <c:noMultiLvlLbl val="0"/>
      </c:catAx>
      <c:valAx>
        <c:axId val="12539711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2539765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1400">
          <a:solidFill>
            <a:sysClr val="windowText" lastClr="000000"/>
          </a:solidFill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'Bazis modell FES adatai'!$D$142</c:f>
          <c:strCache>
            <c:ptCount val="1"/>
            <c:pt idx="0">
              <c:v>Összesen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'Bazis modell FES adatai'!$C$156</c:f>
              <c:strCache>
                <c:ptCount val="1"/>
                <c:pt idx="0">
                  <c:v>0-7 osztály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adatai'!$D$141:$S$141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adatai'!$D$156:$S$156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1.1903730073368397E-4</c:v>
                </c:pt>
                <c:pt idx="2">
                  <c:v>1.1319201348452911E-4</c:v>
                </c:pt>
                <c:pt idx="3">
                  <c:v>1.2203140844322908E-4</c:v>
                </c:pt>
                <c:pt idx="4">
                  <c:v>1.1594581219607107E-4</c:v>
                </c:pt>
                <c:pt idx="5">
                  <c:v>1.1325827580150088E-4</c:v>
                </c:pt>
                <c:pt idx="6">
                  <c:v>1.1054440711918784E-4</c:v>
                </c:pt>
                <c:pt idx="7">
                  <c:v>1.2144814309486893E-4</c:v>
                </c:pt>
                <c:pt idx="8">
                  <c:v>1.1455280164754144E-4</c:v>
                </c:pt>
                <c:pt idx="9">
                  <c:v>1.1479094606946987E-4</c:v>
                </c:pt>
                <c:pt idx="10" formatCode="0.00">
                  <c:v>1.1446642957044608E-4</c:v>
                </c:pt>
                <c:pt idx="11" formatCode="0.00">
                  <c:v>1.141419130714224E-4</c:v>
                </c:pt>
                <c:pt idx="12" formatCode="0.00">
                  <c:v>1.1381739657239862E-4</c:v>
                </c:pt>
                <c:pt idx="13" formatCode="0.00">
                  <c:v>1.1349288007337494E-4</c:v>
                </c:pt>
                <c:pt idx="14" formatCode="0.00">
                  <c:v>1.1316836357435126E-4</c:v>
                </c:pt>
                <c:pt idx="15" formatCode="0.00">
                  <c:v>1.1284384707532747E-4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65-4A78-9BA2-1959E55DBA52}"/>
            </c:ext>
          </c:extLst>
        </c:ser>
        <c:ser>
          <c:idx val="1"/>
          <c:order val="1"/>
          <c:tx>
            <c:strRef>
              <c:f>'Bazis modell FES adatai'!$C$157</c:f>
              <c:strCache>
                <c:ptCount val="1"/>
                <c:pt idx="0">
                  <c:v>8 osztály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adatai'!$D$141:$S$141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adatai'!$D$157:$S$157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5.9771546126329931E-3</c:v>
                </c:pt>
                <c:pt idx="2">
                  <c:v>5.7059979081801396E-3</c:v>
                </c:pt>
                <c:pt idx="3">
                  <c:v>5.4381096978186197E-3</c:v>
                </c:pt>
                <c:pt idx="4">
                  <c:v>5.3989618597651964E-3</c:v>
                </c:pt>
                <c:pt idx="5">
                  <c:v>5.2608835571671666E-3</c:v>
                </c:pt>
                <c:pt idx="6">
                  <c:v>5.4016220237676311E-3</c:v>
                </c:pt>
                <c:pt idx="7">
                  <c:v>5.2630906254902739E-3</c:v>
                </c:pt>
                <c:pt idx="8">
                  <c:v>5.0572358634684064E-3</c:v>
                </c:pt>
                <c:pt idx="9">
                  <c:v>4.9610154659102956E-3</c:v>
                </c:pt>
                <c:pt idx="10" formatCode="0.00">
                  <c:v>4.8550451208822787E-3</c:v>
                </c:pt>
                <c:pt idx="11" formatCode="0.00">
                  <c:v>4.7490747758542617E-3</c:v>
                </c:pt>
                <c:pt idx="12" formatCode="0.00">
                  <c:v>4.6431044308262726E-3</c:v>
                </c:pt>
                <c:pt idx="13" formatCode="0.00">
                  <c:v>4.5371340857982556E-3</c:v>
                </c:pt>
                <c:pt idx="14" formatCode="0.00">
                  <c:v>4.4311637407702664E-3</c:v>
                </c:pt>
                <c:pt idx="15" formatCode="0.00">
                  <c:v>4.3251933957422495E-3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65-4A78-9BA2-1959E55DBA52}"/>
            </c:ext>
          </c:extLst>
        </c:ser>
        <c:ser>
          <c:idx val="2"/>
          <c:order val="2"/>
          <c:tx>
            <c:strRef>
              <c:f>'Bazis modell FES adatai'!$C$158</c:f>
              <c:strCache>
                <c:ptCount val="1"/>
                <c:pt idx="0">
                  <c:v>szakiskola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adatai'!$D$141:$S$141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adatai'!$D$158:$S$158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1.6472203821630942E-2</c:v>
                </c:pt>
                <c:pt idx="2">
                  <c:v>1.6589684525675302E-2</c:v>
                </c:pt>
                <c:pt idx="3">
                  <c:v>1.6915607589226583E-2</c:v>
                </c:pt>
                <c:pt idx="4">
                  <c:v>1.59490493296034E-2</c:v>
                </c:pt>
                <c:pt idx="5">
                  <c:v>1.4949388224156923E-2</c:v>
                </c:pt>
                <c:pt idx="6">
                  <c:v>1.4938800250403473E-2</c:v>
                </c:pt>
                <c:pt idx="7">
                  <c:v>1.4882299407255896E-2</c:v>
                </c:pt>
                <c:pt idx="8">
                  <c:v>1.4481000839095256E-2</c:v>
                </c:pt>
                <c:pt idx="9">
                  <c:v>1.4071963377393693E-2</c:v>
                </c:pt>
                <c:pt idx="10" formatCode="0.00">
                  <c:v>1.3721898739396554E-2</c:v>
                </c:pt>
                <c:pt idx="11" formatCode="0.00">
                  <c:v>1.3371834101399416E-2</c:v>
                </c:pt>
                <c:pt idx="12" formatCode="0.00">
                  <c:v>1.3021769463402166E-2</c:v>
                </c:pt>
                <c:pt idx="13" formatCode="0.00">
                  <c:v>1.2671704825405028E-2</c:v>
                </c:pt>
                <c:pt idx="14" formatCode="0.00">
                  <c:v>1.232164018740789E-2</c:v>
                </c:pt>
                <c:pt idx="15" formatCode="0.00">
                  <c:v>1.197157554941064E-2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65-4A78-9BA2-1959E55DBA52}"/>
            </c:ext>
          </c:extLst>
        </c:ser>
        <c:ser>
          <c:idx val="3"/>
          <c:order val="3"/>
          <c:tx>
            <c:strRef>
              <c:f>'Bazis modell FES adatai'!$C$159</c:f>
              <c:strCache>
                <c:ptCount val="1"/>
                <c:pt idx="0">
                  <c:v>Gimnázium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adatai'!$D$141:$S$141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adatai'!$D$159:$S$159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5.1566241021759321E-3</c:v>
                </c:pt>
                <c:pt idx="2">
                  <c:v>5.4049824859694487E-3</c:v>
                </c:pt>
                <c:pt idx="3">
                  <c:v>5.8153831148405298E-3</c:v>
                </c:pt>
                <c:pt idx="4">
                  <c:v>5.9505462412386525E-3</c:v>
                </c:pt>
                <c:pt idx="5">
                  <c:v>6.4091307639353333E-3</c:v>
                </c:pt>
                <c:pt idx="6">
                  <c:v>7.1293322371059221E-3</c:v>
                </c:pt>
                <c:pt idx="7">
                  <c:v>6.6561188551724319E-3</c:v>
                </c:pt>
                <c:pt idx="8">
                  <c:v>6.3247027948415604E-3</c:v>
                </c:pt>
                <c:pt idx="9">
                  <c:v>7.1147453199904009E-3</c:v>
                </c:pt>
                <c:pt idx="10" formatCode="0.00">
                  <c:v>7.338943707897172E-3</c:v>
                </c:pt>
                <c:pt idx="11" formatCode="0.00">
                  <c:v>7.5631420958038875E-3</c:v>
                </c:pt>
                <c:pt idx="12" formatCode="0.00">
                  <c:v>7.7873404837106586E-3</c:v>
                </c:pt>
                <c:pt idx="13" formatCode="0.00">
                  <c:v>8.0115388716174296E-3</c:v>
                </c:pt>
                <c:pt idx="14" formatCode="0.00">
                  <c:v>8.2357372595241451E-3</c:v>
                </c:pt>
                <c:pt idx="15" formatCode="0.00">
                  <c:v>8.4599356474309162E-3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965-4A78-9BA2-1959E55DBA52}"/>
            </c:ext>
          </c:extLst>
        </c:ser>
        <c:ser>
          <c:idx val="4"/>
          <c:order val="4"/>
          <c:tx>
            <c:strRef>
              <c:f>'Bazis modell FES adatai'!$C$160</c:f>
              <c:strCache>
                <c:ptCount val="1"/>
                <c:pt idx="0">
                  <c:v>Technikum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adatai'!$D$141:$S$141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adatai'!$D$160:$S$160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1.4222664058486788E-2</c:v>
                </c:pt>
                <c:pt idx="2">
                  <c:v>1.4719143409437313E-2</c:v>
                </c:pt>
                <c:pt idx="3">
                  <c:v>1.4664426215227469E-2</c:v>
                </c:pt>
                <c:pt idx="4">
                  <c:v>1.4161620595683502E-2</c:v>
                </c:pt>
                <c:pt idx="5">
                  <c:v>1.3129236763255602E-2</c:v>
                </c:pt>
                <c:pt idx="6">
                  <c:v>1.2869597751606286E-2</c:v>
                </c:pt>
                <c:pt idx="7">
                  <c:v>1.2445559337365335E-2</c:v>
                </c:pt>
                <c:pt idx="8">
                  <c:v>1.1543950639903504E-2</c:v>
                </c:pt>
                <c:pt idx="9">
                  <c:v>1.1512250729563633E-2</c:v>
                </c:pt>
                <c:pt idx="10" formatCode="0.00">
                  <c:v>1.1077300925828704E-2</c:v>
                </c:pt>
                <c:pt idx="11" formatCode="0.00">
                  <c:v>1.0642351122093774E-2</c:v>
                </c:pt>
                <c:pt idx="12" formatCode="0.00">
                  <c:v>1.0207401318358844E-2</c:v>
                </c:pt>
                <c:pt idx="13" formatCode="0.00">
                  <c:v>9.7724515146239144E-3</c:v>
                </c:pt>
                <c:pt idx="14" formatCode="0.00">
                  <c:v>9.3375017108889846E-3</c:v>
                </c:pt>
                <c:pt idx="15" formatCode="0.00">
                  <c:v>8.9025519071540549E-3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965-4A78-9BA2-1959E55DBA52}"/>
            </c:ext>
          </c:extLst>
        </c:ser>
        <c:ser>
          <c:idx val="5"/>
          <c:order val="5"/>
          <c:tx>
            <c:strRef>
              <c:f>'Bazis modell FES adatai'!$C$161</c:f>
              <c:strCache>
                <c:ptCount val="1"/>
                <c:pt idx="0">
                  <c:v>Főiskola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adatai'!$D$141:$S$141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adatai'!$D$161:$S$161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8.8571396343155688E-3</c:v>
                </c:pt>
                <c:pt idx="2">
                  <c:v>9.5171468269501288E-3</c:v>
                </c:pt>
                <c:pt idx="3">
                  <c:v>9.7800753476240815E-3</c:v>
                </c:pt>
                <c:pt idx="4">
                  <c:v>9.5477956402526595E-3</c:v>
                </c:pt>
                <c:pt idx="5">
                  <c:v>9.3333815540179374E-3</c:v>
                </c:pt>
                <c:pt idx="6">
                  <c:v>9.3245520084957768E-3</c:v>
                </c:pt>
                <c:pt idx="7">
                  <c:v>8.7037353373161843E-3</c:v>
                </c:pt>
                <c:pt idx="8">
                  <c:v>7.98980738092386E-3</c:v>
                </c:pt>
                <c:pt idx="9">
                  <c:v>8.5038809666549975E-3</c:v>
                </c:pt>
                <c:pt idx="10" formatCode="0.00">
                  <c:v>8.3643646889701162E-3</c:v>
                </c:pt>
                <c:pt idx="11" formatCode="0.00">
                  <c:v>8.2248484112852349E-3</c:v>
                </c:pt>
                <c:pt idx="12" formatCode="0.00">
                  <c:v>8.0853321336002981E-3</c:v>
                </c:pt>
                <c:pt idx="13" formatCode="0.00">
                  <c:v>7.9458158559154168E-3</c:v>
                </c:pt>
                <c:pt idx="14" formatCode="0.00">
                  <c:v>7.8062995782305356E-3</c:v>
                </c:pt>
                <c:pt idx="15" formatCode="0.00">
                  <c:v>7.6667833005455988E-3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965-4A78-9BA2-1959E55DBA52}"/>
            </c:ext>
          </c:extLst>
        </c:ser>
        <c:ser>
          <c:idx val="6"/>
          <c:order val="6"/>
          <c:tx>
            <c:strRef>
              <c:f>'Bazis modell FES adatai'!$C$162</c:f>
              <c:strCache>
                <c:ptCount val="1"/>
                <c:pt idx="0">
                  <c:v>Egyetem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'Bazis modell FES adatai'!$D$141:$S$141</c:f>
              <c:numCache>
                <c:formatCode>General</c:formatCode>
                <c:ptCount val="1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cat>
          <c:val>
            <c:numRef>
              <c:f>'Bazis modell FES adatai'!$D$162:$S$162</c:f>
              <c:numCache>
                <c:formatCode>#\ ##0.000</c:formatCode>
                <c:ptCount val="16"/>
                <c:pt idx="0" formatCode="#,##0.00">
                  <c:v>0</c:v>
                </c:pt>
                <c:pt idx="1">
                  <c:v>6.0235058341899751E-3</c:v>
                </c:pt>
                <c:pt idx="2">
                  <c:v>6.2625891498955914E-3</c:v>
                </c:pt>
                <c:pt idx="3">
                  <c:v>6.6204955391328006E-3</c:v>
                </c:pt>
                <c:pt idx="4">
                  <c:v>6.6446810085622338E-3</c:v>
                </c:pt>
                <c:pt idx="5">
                  <c:v>6.6754120216851124E-3</c:v>
                </c:pt>
                <c:pt idx="6">
                  <c:v>6.2844970246379306E-3</c:v>
                </c:pt>
                <c:pt idx="7">
                  <c:v>6.1148067556808907E-3</c:v>
                </c:pt>
                <c:pt idx="8">
                  <c:v>6.65324255591192E-3</c:v>
                </c:pt>
                <c:pt idx="9">
                  <c:v>6.5541169799951948E-3</c:v>
                </c:pt>
                <c:pt idx="10" formatCode="0.00">
                  <c:v>6.5861643675025477E-3</c:v>
                </c:pt>
                <c:pt idx="11" formatCode="0.00">
                  <c:v>6.6182117550099145E-3</c:v>
                </c:pt>
                <c:pt idx="12" formatCode="0.00">
                  <c:v>6.6502591425172813E-3</c:v>
                </c:pt>
                <c:pt idx="13" formatCode="0.00">
                  <c:v>6.6823065300246343E-3</c:v>
                </c:pt>
                <c:pt idx="14" formatCode="0.00">
                  <c:v>6.7143539175320011E-3</c:v>
                </c:pt>
                <c:pt idx="15" formatCode="0.00">
                  <c:v>6.7464013050393679E-3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965-4A78-9BA2-1959E55DBA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11060207"/>
        <c:axId val="1111062287"/>
      </c:lineChart>
      <c:catAx>
        <c:axId val="11110602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111062287"/>
        <c:crosses val="autoZero"/>
        <c:auto val="1"/>
        <c:lblAlgn val="ctr"/>
        <c:lblOffset val="100"/>
        <c:noMultiLvlLbl val="0"/>
      </c:catAx>
      <c:valAx>
        <c:axId val="11110622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1110602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1400">
          <a:solidFill>
            <a:sysClr val="windowText" lastClr="000000"/>
          </a:solidFill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'Elemzés 1'!$Z$133</c:f>
          <c:strCache>
            <c:ptCount val="1"/>
            <c:pt idx="0">
              <c:v>Foglalkoztatottak száma összesen - ezer fő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>
        <c:manualLayout>
          <c:layoutTarget val="inner"/>
          <c:xMode val="edge"/>
          <c:yMode val="edge"/>
          <c:x val="0.11233114610673664"/>
          <c:y val="0.23652777777777778"/>
          <c:w val="0.85155774278215224"/>
          <c:h val="0.65393724355560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'Elemzés 1'!$AD$133</c:f>
              <c:strCache>
                <c:ptCount val="1"/>
                <c:pt idx="0">
                  <c:v>2025 Előrejelző modell mínusz 2025 bázismodell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'Elemzés 1'!$AB$134:$AE$134</c:f>
              <c:strCache>
                <c:ptCount val="4"/>
                <c:pt idx="0">
                  <c:v>Upstream</c:v>
                </c:pt>
                <c:pt idx="1">
                  <c:v>Gyártás</c:v>
                </c:pt>
                <c:pt idx="2">
                  <c:v>Down-stream</c:v>
                </c:pt>
                <c:pt idx="3">
                  <c:v>Összesen</c:v>
                </c:pt>
              </c:strCache>
            </c:strRef>
          </c:cat>
          <c:val>
            <c:numRef>
              <c:f>'Elemzés 1'!$AB$139:$AE$139</c:f>
              <c:numCache>
                <c:formatCode>#,##0</c:formatCode>
                <c:ptCount val="4"/>
                <c:pt idx="0">
                  <c:v>178.42057997581048</c:v>
                </c:pt>
                <c:pt idx="1">
                  <c:v>-131.61101352567039</c:v>
                </c:pt>
                <c:pt idx="2">
                  <c:v>9.4234456863230207</c:v>
                </c:pt>
                <c:pt idx="3">
                  <c:v>56.233012136463003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64-468E-B4E3-7F41B20044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36443632"/>
        <c:axId val="636445296"/>
      </c:barChart>
      <c:catAx>
        <c:axId val="636443632"/>
        <c:scaling>
          <c:orientation val="minMax"/>
        </c:scaling>
        <c:delete val="0"/>
        <c:axPos val="b"/>
        <c:title>
          <c:tx>
            <c:strRef>
              <c:f>'Elemzés 1'!$AD$133</c:f>
              <c:strCache>
                <c:ptCount val="1"/>
                <c:pt idx="0">
                  <c:v>2025 Előrejelző modell mínusz 2025 bázismodell</c:v>
                </c:pt>
              </c:strCache>
            </c:strRef>
          </c:tx>
          <c:layout>
            <c:manualLayout>
              <c:xMode val="edge"/>
              <c:yMode val="edge"/>
              <c:x val="0.22274648786633683"/>
              <c:y val="0.1286802819526538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636445296"/>
        <c:crosses val="autoZero"/>
        <c:auto val="1"/>
        <c:lblAlgn val="ctr"/>
        <c:lblOffset val="100"/>
        <c:noMultiLvlLbl val="0"/>
      </c:catAx>
      <c:valAx>
        <c:axId val="636445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636443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Peremszámok!$T$2</c:f>
          <c:strCache>
            <c:ptCount val="1"/>
            <c:pt idx="0">
              <c:v>GDP termelés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Peremszámok!$T$3</c:f>
              <c:strCache>
                <c:ptCount val="1"/>
                <c:pt idx="0">
                  <c:v>Folyó ár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Peremszámok!$T$5:$T$35</c:f>
              <c:numCache>
                <c:formatCode>#,##0</c:formatCode>
                <c:ptCount val="31"/>
                <c:pt idx="0">
                  <c:v>5836483</c:v>
                </c:pt>
                <c:pt idx="1">
                  <c:v>7122305</c:v>
                </c:pt>
                <c:pt idx="2">
                  <c:v>8834560</c:v>
                </c:pt>
                <c:pt idx="3">
                  <c:v>10442818</c:v>
                </c:pt>
                <c:pt idx="4">
                  <c:v>11637546</c:v>
                </c:pt>
                <c:pt idx="5">
                  <c:v>13324052</c:v>
                </c:pt>
                <c:pt idx="6">
                  <c:v>15398700</c:v>
                </c:pt>
                <c:pt idx="7">
                  <c:v>17433859</c:v>
                </c:pt>
                <c:pt idx="8">
                  <c:v>19133811</c:v>
                </c:pt>
                <c:pt idx="9">
                  <c:v>21077457</c:v>
                </c:pt>
                <c:pt idx="10">
                  <c:v>22549020</c:v>
                </c:pt>
                <c:pt idx="11">
                  <c:v>24316299</c:v>
                </c:pt>
                <c:pt idx="12">
                  <c:v>25701369</c:v>
                </c:pt>
                <c:pt idx="13">
                  <c:v>27217365</c:v>
                </c:pt>
                <c:pt idx="14">
                  <c:v>26458264</c:v>
                </c:pt>
                <c:pt idx="15">
                  <c:v>27431270</c:v>
                </c:pt>
                <c:pt idx="16">
                  <c:v>28501501</c:v>
                </c:pt>
                <c:pt idx="17">
                  <c:v>28920370</c:v>
                </c:pt>
                <c:pt idx="18">
                  <c:v>30290920</c:v>
                </c:pt>
                <c:pt idx="19">
                  <c:v>32742178</c:v>
                </c:pt>
                <c:pt idx="20">
                  <c:v>34937313</c:v>
                </c:pt>
                <c:pt idx="21">
                  <c:v>36167453</c:v>
                </c:pt>
                <c:pt idx="22">
                  <c:v>39233430</c:v>
                </c:pt>
                <c:pt idx="23">
                  <c:v>43347041</c:v>
                </c:pt>
                <c:pt idx="24">
                  <c:v>47513912</c:v>
                </c:pt>
                <c:pt idx="25">
                  <c:v>49332629.746379495</c:v>
                </c:pt>
                <c:pt idx="26">
                  <c:v>54837595.155492768</c:v>
                </c:pt>
                <c:pt idx="27">
                  <c:v>60113316.001776554</c:v>
                </c:pt>
                <c:pt idx="28">
                  <c:v>66188804.292860493</c:v>
                </c:pt>
                <c:pt idx="29">
                  <c:v>73203371.153320491</c:v>
                </c:pt>
                <c:pt idx="30">
                  <c:v>81324160.209064752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F6-4911-8B48-05F28CDCBF20}"/>
            </c:ext>
          </c:extLst>
        </c:ser>
        <c:ser>
          <c:idx val="3"/>
          <c:order val="3"/>
          <c:tx>
            <c:strRef>
              <c:f>Peremszámok!$X$3</c:f>
              <c:strCache>
                <c:ptCount val="1"/>
                <c:pt idx="0">
                  <c:v>2015 évi ár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Peremszámok!$X$5:$X$35</c:f>
              <c:numCache>
                <c:formatCode>#,##0</c:formatCode>
                <c:ptCount val="31"/>
                <c:pt idx="0">
                  <c:v>22144887.080508646</c:v>
                </c:pt>
                <c:pt idx="1">
                  <c:v>22163137.267625999</c:v>
                </c:pt>
                <c:pt idx="2">
                  <c:v>22859752.534473255</c:v>
                </c:pt>
                <c:pt idx="3">
                  <c:v>23751283.297323663</c:v>
                </c:pt>
                <c:pt idx="4">
                  <c:v>24480692.165314879</c:v>
                </c:pt>
                <c:pt idx="5">
                  <c:v>25577229.308423001</c:v>
                </c:pt>
                <c:pt idx="6">
                  <c:v>26619268.899262823</c:v>
                </c:pt>
                <c:pt idx="7">
                  <c:v>27881363.864829801</c:v>
                </c:pt>
                <c:pt idx="8">
                  <c:v>29020184.615560126</c:v>
                </c:pt>
                <c:pt idx="9">
                  <c:v>30419786.100204267</c:v>
                </c:pt>
                <c:pt idx="10">
                  <c:v>31710687.409491982</c:v>
                </c:pt>
                <c:pt idx="11">
                  <c:v>32988949.443212621</c:v>
                </c:pt>
                <c:pt idx="12">
                  <c:v>33068841.792116594</c:v>
                </c:pt>
                <c:pt idx="13">
                  <c:v>33418806.014771301</c:v>
                </c:pt>
                <c:pt idx="14">
                  <c:v>31179895.140144512</c:v>
                </c:pt>
                <c:pt idx="15">
                  <c:v>31529789.278556813</c:v>
                </c:pt>
                <c:pt idx="16">
                  <c:v>32140554.974724524</c:v>
                </c:pt>
                <c:pt idx="17">
                  <c:v>31696815.394081239</c:v>
                </c:pt>
                <c:pt idx="18">
                  <c:v>32286614.122413874</c:v>
                </c:pt>
                <c:pt idx="19">
                  <c:v>33651999.038139202</c:v>
                </c:pt>
                <c:pt idx="20">
                  <c:v>34937313</c:v>
                </c:pt>
                <c:pt idx="21">
                  <c:v>35684970</c:v>
                </c:pt>
                <c:pt idx="22">
                  <c:v>37225412.262049809</c:v>
                </c:pt>
                <c:pt idx="23">
                  <c:v>39237555.011911556</c:v>
                </c:pt>
                <c:pt idx="24">
                  <c:v>41033924.925527774</c:v>
                </c:pt>
                <c:pt idx="25">
                  <c:v>40753814.367990971</c:v>
                </c:pt>
                <c:pt idx="26">
                  <c:v>42859649.697886944</c:v>
                </c:pt>
                <c:pt idx="27">
                  <c:v>44206550.108355045</c:v>
                </c:pt>
                <c:pt idx="28">
                  <c:v>45553450.518823624</c:v>
                </c:pt>
                <c:pt idx="29">
                  <c:v>46900350.929292202</c:v>
                </c:pt>
                <c:pt idx="30">
                  <c:v>48247251.33976078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F6-4911-8B48-05F28CDCBF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2192959"/>
        <c:axId val="722191711"/>
      </c:lineChart>
      <c:lineChart>
        <c:grouping val="standard"/>
        <c:varyColors val="0"/>
        <c:ser>
          <c:idx val="1"/>
          <c:order val="1"/>
          <c:tx>
            <c:strRef>
              <c:f>Peremszámok!$V$3</c:f>
              <c:strCache>
                <c:ptCount val="1"/>
                <c:pt idx="0">
                  <c:v>Folyó árak az előző évi árak %-ban (ptpt-1)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Peremszámok!$V$5:$V$35</c:f>
              <c:numCache>
                <c:formatCode>#\ ##0.0000</c:formatCode>
                <c:ptCount val="31"/>
                <c:pt idx="1">
                  <c:v>1.2193028153184577</c:v>
                </c:pt>
                <c:pt idx="2">
                  <c:v>1.2026079447134888</c:v>
                </c:pt>
                <c:pt idx="3">
                  <c:v>1.1376724187143239</c:v>
                </c:pt>
                <c:pt idx="4">
                  <c:v>1.0812026177310026</c:v>
                </c:pt>
                <c:pt idx="5">
                  <c:v>1.0958348404704603</c:v>
                </c:pt>
                <c:pt idx="6">
                  <c:v>1.1104656085007116</c:v>
                </c:pt>
                <c:pt idx="7">
                  <c:v>1.0809150912442564</c:v>
                </c:pt>
                <c:pt idx="8">
                  <c:v>1.0544398091276461</c:v>
                </c:pt>
                <c:pt idx="9">
                  <c:v>1.050898439601474</c:v>
                </c:pt>
                <c:pt idx="10">
                  <c:v>1.0262660429307335</c:v>
                </c:pt>
                <c:pt idx="11">
                  <c:v>1.0365899032883232</c:v>
                </c:pt>
                <c:pt idx="12">
                  <c:v>1.0544070060095536</c:v>
                </c:pt>
                <c:pt idx="13">
                  <c:v>1.0478952591585748</c:v>
                </c:pt>
                <c:pt idx="14">
                  <c:v>1.0419132167960028</c:v>
                </c:pt>
                <c:pt idx="15">
                  <c:v>1.0252697674576801</c:v>
                </c:pt>
                <c:pt idx="16">
                  <c:v>1.0192706390451003</c:v>
                </c:pt>
                <c:pt idx="17">
                  <c:v>1.0289016263446393</c:v>
                </c:pt>
                <c:pt idx="18">
                  <c:v>1.028257169593054</c:v>
                </c:pt>
                <c:pt idx="19">
                  <c:v>1.0370668126867721</c:v>
                </c:pt>
                <c:pt idx="20">
                  <c:v>1.0277874317994118</c:v>
                </c:pt>
                <c:pt idx="21">
                  <c:v>1.0135206222675821</c:v>
                </c:pt>
                <c:pt idx="22">
                  <c:v>1.0398822668872201</c:v>
                </c:pt>
                <c:pt idx="23">
                  <c:v>1.0481917977104671</c:v>
                </c:pt>
                <c:pt idx="24">
                  <c:v>1.0481422089440531</c:v>
                </c:pt>
                <c:pt idx="25">
                  <c:v>1.0452861764030663</c:v>
                </c:pt>
                <c:pt idx="26">
                  <c:v>1.057101885389061</c:v>
                </c:pt>
                <c:pt idx="27">
                  <c:v>1.0628066857853735</c:v>
                </c:pt>
                <c:pt idx="28">
                  <c:v>1.068511486181686</c:v>
                </c:pt>
                <c:pt idx="29">
                  <c:v>1.0742162865779985</c:v>
                </c:pt>
                <c:pt idx="30">
                  <c:v>1.079921086974311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8F6-4911-8B48-05F28CDCBF20}"/>
            </c:ext>
          </c:extLst>
        </c:ser>
        <c:ser>
          <c:idx val="2"/>
          <c:order val="2"/>
          <c:tx>
            <c:strRef>
              <c:f>Peremszámok!$W$3</c:f>
              <c:strCache>
                <c:ptCount val="1"/>
                <c:pt idx="0">
                  <c:v>Folyó árak a 2015 évi árak %-ban (ptp14)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Peremszámok!$W$5:$W$35</c:f>
              <c:numCache>
                <c:formatCode>#\ ##0.0000</c:formatCode>
                <c:ptCount val="31"/>
                <c:pt idx="0">
                  <c:v>0.26355894156430903</c:v>
                </c:pt>
                <c:pt idx="1">
                  <c:v>0.32135815945171486</c:v>
                </c:pt>
                <c:pt idx="2">
                  <c:v>0.38646787565513641</c:v>
                </c:pt>
                <c:pt idx="3">
                  <c:v>0.43967384285196559</c:v>
                </c:pt>
                <c:pt idx="4">
                  <c:v>0.47537650983939467</c:v>
                </c:pt>
                <c:pt idx="5">
                  <c:v>0.52093414182325726</c:v>
                </c:pt>
                <c:pt idx="6">
                  <c:v>0.57847944878855939</c:v>
                </c:pt>
                <c:pt idx="7">
                  <c:v>0.62528716617021285</c:v>
                </c:pt>
                <c:pt idx="8">
                  <c:v>0.65932768014648602</c:v>
                </c:pt>
                <c:pt idx="9">
                  <c:v>0.69288643025200192</c:v>
                </c:pt>
                <c:pt idx="10">
                  <c:v>0.71108581497512369</c:v>
                </c:pt>
                <c:pt idx="11">
                  <c:v>0.73710437617476199</c:v>
                </c:pt>
                <c:pt idx="12">
                  <c:v>0.77720801839897058</c:v>
                </c:pt>
                <c:pt idx="13">
                  <c:v>0.81443259786031164</c:v>
                </c:pt>
                <c:pt idx="14">
                  <c:v>0.84856808790016258</c:v>
                </c:pt>
                <c:pt idx="15">
                  <c:v>0.87001120615340788</c:v>
                </c:pt>
                <c:pt idx="16">
                  <c:v>0.88677687807238259</c:v>
                </c:pt>
                <c:pt idx="17">
                  <c:v>0.91240617205349639</c:v>
                </c:pt>
                <c:pt idx="18">
                  <c:v>0.93818818799496129</c:v>
                </c:pt>
                <c:pt idx="19">
                  <c:v>0.97296383382431273</c:v>
                </c:pt>
                <c:pt idx="20">
                  <c:v>1</c:v>
                </c:pt>
                <c:pt idx="21">
                  <c:v>1.0135206222675821</c:v>
                </c:pt>
                <c:pt idx="22">
                  <c:v>1.0539421222205592</c:v>
                </c:pt>
                <c:pt idx="23">
                  <c:v>1.1047334877731527</c:v>
                </c:pt>
                <c:pt idx="24">
                  <c:v>1.1579177981690203</c:v>
                </c:pt>
                <c:pt idx="25">
                  <c:v>1.2103554678371526</c:v>
                </c:pt>
                <c:pt idx="26">
                  <c:v>1.279469047041613</c:v>
                </c:pt>
                <c:pt idx="27">
                  <c:v>1.3598282574512668</c:v>
                </c:pt>
                <c:pt idx="28">
                  <c:v>1.4529921123211054</c:v>
                </c:pt>
                <c:pt idx="29">
                  <c:v>1.5608277913247</c:v>
                </c:pt>
                <c:pt idx="30">
                  <c:v>1.685570844987083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8F6-4911-8B48-05F28CDCBF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5688511"/>
        <c:axId val="725684767"/>
      </c:lineChart>
      <c:catAx>
        <c:axId val="7221929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722191711"/>
        <c:crosses val="autoZero"/>
        <c:auto val="1"/>
        <c:lblAlgn val="ctr"/>
        <c:lblOffset val="100"/>
        <c:noMultiLvlLbl val="0"/>
      </c:catAx>
      <c:valAx>
        <c:axId val="7221917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722192959"/>
        <c:crosses val="autoZero"/>
        <c:crossBetween val="between"/>
      </c:valAx>
      <c:valAx>
        <c:axId val="725684767"/>
        <c:scaling>
          <c:orientation val="minMax"/>
        </c:scaling>
        <c:delete val="0"/>
        <c:axPos val="r"/>
        <c:numFmt formatCode="#\ ##0.00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725688511"/>
        <c:crosses val="max"/>
        <c:crossBetween val="between"/>
      </c:valAx>
      <c:catAx>
        <c:axId val="72568851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2568476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'Elemzés 1'!$AH$133</c:f>
          <c:strCache>
            <c:ptCount val="1"/>
            <c:pt idx="0">
              <c:v>Foglalkoztatottak száma összesen - ezer fő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'Elemzés 1'!$AI$134</c:f>
              <c:strCache>
                <c:ptCount val="1"/>
                <c:pt idx="0">
                  <c:v>Upstream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'Elemzés 1'!$AH$135:$AH$139</c:f>
              <c:strCache>
                <c:ptCount val="5"/>
                <c:pt idx="0">
                  <c:v>2 011</c:v>
                </c:pt>
                <c:pt idx="1">
                  <c:v>2 015</c:v>
                </c:pt>
                <c:pt idx="2">
                  <c:v>2 020</c:v>
                </c:pt>
                <c:pt idx="3">
                  <c:v>2025 bázismodell</c:v>
                </c:pt>
                <c:pt idx="4">
                  <c:v>2025 előrejelző modell</c:v>
                </c:pt>
              </c:strCache>
            </c:strRef>
          </c:cat>
          <c:val>
            <c:numRef>
              <c:f>'Elemzés 1'!$AI$135:$AI$139</c:f>
              <c:numCache>
                <c:formatCode>0%</c:formatCode>
                <c:ptCount val="5"/>
                <c:pt idx="0">
                  <c:v>0.16674769948692636</c:v>
                </c:pt>
                <c:pt idx="1">
                  <c:v>0.17618534649064593</c:v>
                </c:pt>
                <c:pt idx="2">
                  <c:v>0.17553683195458686</c:v>
                </c:pt>
                <c:pt idx="3">
                  <c:v>0.17936101206770216</c:v>
                </c:pt>
                <c:pt idx="4">
                  <c:v>0.21275990645515502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64-4E00-A575-C377866DE063}"/>
            </c:ext>
          </c:extLst>
        </c:ser>
        <c:ser>
          <c:idx val="1"/>
          <c:order val="1"/>
          <c:tx>
            <c:strRef>
              <c:f>'Elemzés 1'!$AJ$134</c:f>
              <c:strCache>
                <c:ptCount val="1"/>
                <c:pt idx="0">
                  <c:v>Gyártás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'Elemzés 1'!$AH$135:$AH$139</c:f>
              <c:strCache>
                <c:ptCount val="5"/>
                <c:pt idx="0">
                  <c:v>2 011</c:v>
                </c:pt>
                <c:pt idx="1">
                  <c:v>2 015</c:v>
                </c:pt>
                <c:pt idx="2">
                  <c:v>2 020</c:v>
                </c:pt>
                <c:pt idx="3">
                  <c:v>2025 bázismodell</c:v>
                </c:pt>
                <c:pt idx="4">
                  <c:v>2025 előrejelző modell</c:v>
                </c:pt>
              </c:strCache>
            </c:strRef>
          </c:cat>
          <c:val>
            <c:numRef>
              <c:f>'Elemzés 1'!$AJ$135:$AJ$139</c:f>
              <c:numCache>
                <c:formatCode>0%</c:formatCode>
                <c:ptCount val="5"/>
                <c:pt idx="0">
                  <c:v>0.43203359617982645</c:v>
                </c:pt>
                <c:pt idx="1">
                  <c:v>0.42330576964825689</c:v>
                </c:pt>
                <c:pt idx="2">
                  <c:v>0.4501435277529417</c:v>
                </c:pt>
                <c:pt idx="3">
                  <c:v>0.46813195679364444</c:v>
                </c:pt>
                <c:pt idx="4">
                  <c:v>0.43679632244156058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C64-4E00-A575-C377866DE063}"/>
            </c:ext>
          </c:extLst>
        </c:ser>
        <c:ser>
          <c:idx val="2"/>
          <c:order val="2"/>
          <c:tx>
            <c:strRef>
              <c:f>'Elemzés 1'!$AK$134</c:f>
              <c:strCache>
                <c:ptCount val="1"/>
                <c:pt idx="0">
                  <c:v>Down-stream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'Elemzés 1'!$AH$135:$AH$139</c:f>
              <c:strCache>
                <c:ptCount val="5"/>
                <c:pt idx="0">
                  <c:v>2 011</c:v>
                </c:pt>
                <c:pt idx="1">
                  <c:v>2 015</c:v>
                </c:pt>
                <c:pt idx="2">
                  <c:v>2 020</c:v>
                </c:pt>
                <c:pt idx="3">
                  <c:v>2025 bázismodell</c:v>
                </c:pt>
                <c:pt idx="4">
                  <c:v>2025 előrejelző modell</c:v>
                </c:pt>
              </c:strCache>
            </c:strRef>
          </c:cat>
          <c:val>
            <c:numRef>
              <c:f>'Elemzés 1'!$AK$135:$AK$139</c:f>
              <c:numCache>
                <c:formatCode>0%</c:formatCode>
                <c:ptCount val="5"/>
                <c:pt idx="0">
                  <c:v>0.40121870433324724</c:v>
                </c:pt>
                <c:pt idx="1">
                  <c:v>0.40050888386109712</c:v>
                </c:pt>
                <c:pt idx="2">
                  <c:v>0.3743196402924715</c:v>
                </c:pt>
                <c:pt idx="3">
                  <c:v>0.35250703113865328</c:v>
                </c:pt>
                <c:pt idx="4">
                  <c:v>0.35044377110328429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C64-4E00-A575-C377866DE06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343398688"/>
        <c:axId val="343397856"/>
      </c:barChart>
      <c:catAx>
        <c:axId val="34339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343397856"/>
        <c:crosses val="autoZero"/>
        <c:auto val="1"/>
        <c:lblAlgn val="ctr"/>
        <c:lblOffset val="100"/>
        <c:noMultiLvlLbl val="0"/>
      </c:catAx>
      <c:valAx>
        <c:axId val="343397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343398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1200">
          <a:solidFill>
            <a:sysClr val="windowText" lastClr="000000"/>
          </a:solidFill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'Elemzés 1'!$S$133</c:f>
          <c:strCache>
            <c:ptCount val="1"/>
            <c:pt idx="0">
              <c:v>Foglalkoztatottak száma összesen - ezer fő</c:v>
            </c:pt>
          </c:strCache>
        </c:strRef>
      </c:tx>
      <c:layout>
        <c:manualLayout>
          <c:xMode val="edge"/>
          <c:yMode val="edge"/>
          <c:x val="0.20558010712854324"/>
          <c:y val="3.5519342875606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>
        <c:manualLayout>
          <c:layoutTarget val="inner"/>
          <c:xMode val="edge"/>
          <c:yMode val="edge"/>
          <c:x val="7.0566232538468235E-2"/>
          <c:y val="0.16019137373774356"/>
          <c:w val="0.91205620032093149"/>
          <c:h val="0.422354787691154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'Elemzés 1'!$T$134</c:f>
              <c:strCache>
                <c:ptCount val="1"/>
                <c:pt idx="0">
                  <c:v>Upstream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'Elemzés 1'!$R$135:$S$149</c:f>
              <c:multiLvlStrCache>
                <c:ptCount val="15"/>
                <c:lvl>
                  <c:pt idx="0">
                    <c:v>2 011</c:v>
                  </c:pt>
                  <c:pt idx="1">
                    <c:v>2 015</c:v>
                  </c:pt>
                  <c:pt idx="2">
                    <c:v>2 020</c:v>
                  </c:pt>
                  <c:pt idx="3">
                    <c:v>2025 bázismodell</c:v>
                  </c:pt>
                  <c:pt idx="4">
                    <c:v>2025 előrejelző modell</c:v>
                  </c:pt>
                  <c:pt idx="5">
                    <c:v>2 011</c:v>
                  </c:pt>
                  <c:pt idx="6">
                    <c:v>2 015</c:v>
                  </c:pt>
                  <c:pt idx="7">
                    <c:v>2 020</c:v>
                  </c:pt>
                  <c:pt idx="8">
                    <c:v>2025 bázismodell</c:v>
                  </c:pt>
                  <c:pt idx="9">
                    <c:v>2025 előrejelző modell</c:v>
                  </c:pt>
                  <c:pt idx="10">
                    <c:v>2 011</c:v>
                  </c:pt>
                  <c:pt idx="11">
                    <c:v>2 015</c:v>
                  </c:pt>
                  <c:pt idx="12">
                    <c:v>2 020</c:v>
                  </c:pt>
                  <c:pt idx="13">
                    <c:v>2025 bázismodell</c:v>
                  </c:pt>
                  <c:pt idx="14">
                    <c:v>2025 előrejelző modell</c:v>
                  </c:pt>
                </c:lvl>
                <c:lvl>
                  <c:pt idx="0">
                    <c:v>Upstream</c:v>
                  </c:pt>
                  <c:pt idx="5">
                    <c:v>Gyártás</c:v>
                  </c:pt>
                  <c:pt idx="10">
                    <c:v>Down-stream</c:v>
                  </c:pt>
                </c:lvl>
              </c:multiLvlStrCache>
            </c:multiLvlStrRef>
          </c:cat>
          <c:val>
            <c:numRef>
              <c:f>'Elemzés 1'!$T$135:$T$149</c:f>
              <c:numCache>
                <c:formatCode>#,##0</c:formatCode>
                <c:ptCount val="15"/>
                <c:pt idx="0">
                  <c:v>607.38800000000003</c:v>
                </c:pt>
                <c:pt idx="1">
                  <c:v>684.96</c:v>
                </c:pt>
                <c:pt idx="2">
                  <c:v>775.27531625160452</c:v>
                </c:pt>
                <c:pt idx="3">
                  <c:v>893.91573608493115</c:v>
                </c:pt>
                <c:pt idx="4">
                  <c:v>1072.3363160607416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F8-409F-A716-8EF7B601187E}"/>
            </c:ext>
          </c:extLst>
        </c:ser>
        <c:ser>
          <c:idx val="1"/>
          <c:order val="1"/>
          <c:tx>
            <c:strRef>
              <c:f>'Elemzés 1'!$U$134</c:f>
              <c:strCache>
                <c:ptCount val="1"/>
                <c:pt idx="0">
                  <c:v>Gyártás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'Elemzés 1'!$R$135:$S$149</c:f>
              <c:multiLvlStrCache>
                <c:ptCount val="15"/>
                <c:lvl>
                  <c:pt idx="0">
                    <c:v>2 011</c:v>
                  </c:pt>
                  <c:pt idx="1">
                    <c:v>2 015</c:v>
                  </c:pt>
                  <c:pt idx="2">
                    <c:v>2 020</c:v>
                  </c:pt>
                  <c:pt idx="3">
                    <c:v>2025 bázismodell</c:v>
                  </c:pt>
                  <c:pt idx="4">
                    <c:v>2025 előrejelző modell</c:v>
                  </c:pt>
                  <c:pt idx="5">
                    <c:v>2 011</c:v>
                  </c:pt>
                  <c:pt idx="6">
                    <c:v>2 015</c:v>
                  </c:pt>
                  <c:pt idx="7">
                    <c:v>2 020</c:v>
                  </c:pt>
                  <c:pt idx="8">
                    <c:v>2025 bázismodell</c:v>
                  </c:pt>
                  <c:pt idx="9">
                    <c:v>2025 előrejelző modell</c:v>
                  </c:pt>
                  <c:pt idx="10">
                    <c:v>2 011</c:v>
                  </c:pt>
                  <c:pt idx="11">
                    <c:v>2 015</c:v>
                  </c:pt>
                  <c:pt idx="12">
                    <c:v>2 020</c:v>
                  </c:pt>
                  <c:pt idx="13">
                    <c:v>2025 bázismodell</c:v>
                  </c:pt>
                  <c:pt idx="14">
                    <c:v>2025 előrejelző modell</c:v>
                  </c:pt>
                </c:lvl>
                <c:lvl>
                  <c:pt idx="0">
                    <c:v>Upstream</c:v>
                  </c:pt>
                  <c:pt idx="5">
                    <c:v>Gyártás</c:v>
                  </c:pt>
                  <c:pt idx="10">
                    <c:v>Down-stream</c:v>
                  </c:pt>
                </c:lvl>
              </c:multiLvlStrCache>
            </c:multiLvlStrRef>
          </c:cat>
          <c:val>
            <c:numRef>
              <c:f>'Elemzés 1'!$U$135:$U$149</c:f>
              <c:numCache>
                <c:formatCode>General</c:formatCode>
                <c:ptCount val="15"/>
                <c:pt idx="5" formatCode="#,##0">
                  <c:v>1573.7070000000001</c:v>
                </c:pt>
                <c:pt idx="6" formatCode="#,##0">
                  <c:v>1645.6959999999999</c:v>
                </c:pt>
                <c:pt idx="7" formatCode="#,##0">
                  <c:v>1988.1022230568724</c:v>
                </c:pt>
                <c:pt idx="8" formatCode="#,##0">
                  <c:v>2333.1186522526573</c:v>
                </c:pt>
                <c:pt idx="9" formatCode="#,##0">
                  <c:v>2201.5076387269869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F8-409F-A716-8EF7B601187E}"/>
            </c:ext>
          </c:extLst>
        </c:ser>
        <c:ser>
          <c:idx val="2"/>
          <c:order val="2"/>
          <c:tx>
            <c:strRef>
              <c:f>'Elemzés 1'!$V$134</c:f>
              <c:strCache>
                <c:ptCount val="1"/>
                <c:pt idx="0">
                  <c:v>Down-stream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'Elemzés 1'!$R$135:$S$149</c:f>
              <c:multiLvlStrCache>
                <c:ptCount val="15"/>
                <c:lvl>
                  <c:pt idx="0">
                    <c:v>2 011</c:v>
                  </c:pt>
                  <c:pt idx="1">
                    <c:v>2 015</c:v>
                  </c:pt>
                  <c:pt idx="2">
                    <c:v>2 020</c:v>
                  </c:pt>
                  <c:pt idx="3">
                    <c:v>2025 bázismodell</c:v>
                  </c:pt>
                  <c:pt idx="4">
                    <c:v>2025 előrejelző modell</c:v>
                  </c:pt>
                  <c:pt idx="5">
                    <c:v>2 011</c:v>
                  </c:pt>
                  <c:pt idx="6">
                    <c:v>2 015</c:v>
                  </c:pt>
                  <c:pt idx="7">
                    <c:v>2 020</c:v>
                  </c:pt>
                  <c:pt idx="8">
                    <c:v>2025 bázismodell</c:v>
                  </c:pt>
                  <c:pt idx="9">
                    <c:v>2025 előrejelző modell</c:v>
                  </c:pt>
                  <c:pt idx="10">
                    <c:v>2 011</c:v>
                  </c:pt>
                  <c:pt idx="11">
                    <c:v>2 015</c:v>
                  </c:pt>
                  <c:pt idx="12">
                    <c:v>2 020</c:v>
                  </c:pt>
                  <c:pt idx="13">
                    <c:v>2025 bázismodell</c:v>
                  </c:pt>
                  <c:pt idx="14">
                    <c:v>2025 előrejelző modell</c:v>
                  </c:pt>
                </c:lvl>
                <c:lvl>
                  <c:pt idx="0">
                    <c:v>Upstream</c:v>
                  </c:pt>
                  <c:pt idx="5">
                    <c:v>Gyártás</c:v>
                  </c:pt>
                  <c:pt idx="10">
                    <c:v>Down-stream</c:v>
                  </c:pt>
                </c:lvl>
              </c:multiLvlStrCache>
            </c:multiLvlStrRef>
          </c:cat>
          <c:val>
            <c:numRef>
              <c:f>'Elemzés 1'!$V$135:$V$149</c:f>
              <c:numCache>
                <c:formatCode>General</c:formatCode>
                <c:ptCount val="15"/>
                <c:pt idx="10" formatCode="#,##0">
                  <c:v>1461.462</c:v>
                </c:pt>
                <c:pt idx="11" formatCode="#,##0">
                  <c:v>1557.068</c:v>
                </c:pt>
                <c:pt idx="12" formatCode="#,##0">
                  <c:v>1653.2187249568826</c:v>
                </c:pt>
                <c:pt idx="13" formatCode="#,##0">
                  <c:v>1756.8566244289477</c:v>
                </c:pt>
                <c:pt idx="14" formatCode="#,##0">
                  <c:v>1766.2800701152707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F8-409F-A716-8EF7B601187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703760176"/>
        <c:axId val="703763088"/>
      </c:barChart>
      <c:catAx>
        <c:axId val="703760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30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703763088"/>
        <c:crosses val="autoZero"/>
        <c:auto val="1"/>
        <c:lblAlgn val="ctr"/>
        <c:lblOffset val="100"/>
        <c:noMultiLvlLbl val="0"/>
      </c:catAx>
      <c:valAx>
        <c:axId val="703763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703760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1200">
          <a:solidFill>
            <a:sysClr val="windowText" lastClr="000000"/>
          </a:solidFill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'Elemzés 2'!$S$112</c:f>
          <c:strCache>
            <c:ptCount val="1"/>
            <c:pt idx="0">
              <c:v>Foglalkoztatottak végzettsége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'Elemzés 2'!$T$125</c:f>
              <c:strCache>
                <c:ptCount val="1"/>
                <c:pt idx="0">
                  <c:v>Felső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'Elemzés 2'!$R$126:$S$140</c:f>
              <c:multiLvlStrCache>
                <c:ptCount val="15"/>
                <c:lvl>
                  <c:pt idx="0">
                    <c:v>2011</c:v>
                  </c:pt>
                  <c:pt idx="1">
                    <c:v>2 015</c:v>
                  </c:pt>
                  <c:pt idx="2">
                    <c:v>2 020</c:v>
                  </c:pt>
                  <c:pt idx="3">
                    <c:v>2025 bázis</c:v>
                  </c:pt>
                  <c:pt idx="4">
                    <c:v>2025 modellezés</c:v>
                  </c:pt>
                  <c:pt idx="5">
                    <c:v>2011</c:v>
                  </c:pt>
                  <c:pt idx="6">
                    <c:v>2015</c:v>
                  </c:pt>
                  <c:pt idx="7">
                    <c:v>2020</c:v>
                  </c:pt>
                  <c:pt idx="8">
                    <c:v>2025 bázis</c:v>
                  </c:pt>
                  <c:pt idx="9">
                    <c:v>2025 modellezés</c:v>
                  </c:pt>
                  <c:pt idx="10">
                    <c:v>2011</c:v>
                  </c:pt>
                  <c:pt idx="11">
                    <c:v>2015</c:v>
                  </c:pt>
                  <c:pt idx="12">
                    <c:v>2020</c:v>
                  </c:pt>
                  <c:pt idx="13">
                    <c:v>2025 bázis</c:v>
                  </c:pt>
                  <c:pt idx="14">
                    <c:v>2025 modellezés</c:v>
                  </c:pt>
                </c:lvl>
                <c:lvl>
                  <c:pt idx="0">
                    <c:v>Upstream</c:v>
                  </c:pt>
                  <c:pt idx="5">
                    <c:v>Gyártás</c:v>
                  </c:pt>
                  <c:pt idx="10">
                    <c:v>Down-stream</c:v>
                  </c:pt>
                </c:lvl>
              </c:multiLvlStrCache>
            </c:multiLvlStrRef>
          </c:cat>
          <c:val>
            <c:numRef>
              <c:f>'Elemzés 2'!$T$126:$T$140</c:f>
              <c:numCache>
                <c:formatCode>#,##0</c:formatCode>
                <c:ptCount val="15"/>
                <c:pt idx="0">
                  <c:v>186.64</c:v>
                </c:pt>
                <c:pt idx="1">
                  <c:v>220.536</c:v>
                </c:pt>
                <c:pt idx="2">
                  <c:v>242.79934434848826</c:v>
                </c:pt>
                <c:pt idx="3">
                  <c:v>285.4233736133051</c:v>
                </c:pt>
                <c:pt idx="4">
                  <c:v>342.3922822061615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E2-4B3A-8C89-4B5B4FCD27D8}"/>
            </c:ext>
          </c:extLst>
        </c:ser>
        <c:ser>
          <c:idx val="1"/>
          <c:order val="1"/>
          <c:tx>
            <c:strRef>
              <c:f>'Elemzés 2'!$U$125</c:f>
              <c:strCache>
                <c:ptCount val="1"/>
                <c:pt idx="0">
                  <c:v>Közép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'Elemzés 2'!$R$126:$S$140</c:f>
              <c:multiLvlStrCache>
                <c:ptCount val="15"/>
                <c:lvl>
                  <c:pt idx="0">
                    <c:v>2011</c:v>
                  </c:pt>
                  <c:pt idx="1">
                    <c:v>2 015</c:v>
                  </c:pt>
                  <c:pt idx="2">
                    <c:v>2 020</c:v>
                  </c:pt>
                  <c:pt idx="3">
                    <c:v>2025 bázis</c:v>
                  </c:pt>
                  <c:pt idx="4">
                    <c:v>2025 modellezés</c:v>
                  </c:pt>
                  <c:pt idx="5">
                    <c:v>2011</c:v>
                  </c:pt>
                  <c:pt idx="6">
                    <c:v>2015</c:v>
                  </c:pt>
                  <c:pt idx="7">
                    <c:v>2020</c:v>
                  </c:pt>
                  <c:pt idx="8">
                    <c:v>2025 bázis</c:v>
                  </c:pt>
                  <c:pt idx="9">
                    <c:v>2025 modellezés</c:v>
                  </c:pt>
                  <c:pt idx="10">
                    <c:v>2011</c:v>
                  </c:pt>
                  <c:pt idx="11">
                    <c:v>2015</c:v>
                  </c:pt>
                  <c:pt idx="12">
                    <c:v>2020</c:v>
                  </c:pt>
                  <c:pt idx="13">
                    <c:v>2025 bázis</c:v>
                  </c:pt>
                  <c:pt idx="14">
                    <c:v>2025 modellezés</c:v>
                  </c:pt>
                </c:lvl>
                <c:lvl>
                  <c:pt idx="0">
                    <c:v>Upstream</c:v>
                  </c:pt>
                  <c:pt idx="5">
                    <c:v>Gyártás</c:v>
                  </c:pt>
                  <c:pt idx="10">
                    <c:v>Down-stream</c:v>
                  </c:pt>
                </c:lvl>
              </c:multiLvlStrCache>
            </c:multiLvlStrRef>
          </c:cat>
          <c:val>
            <c:numRef>
              <c:f>'Elemzés 2'!$U$126:$U$140</c:f>
              <c:numCache>
                <c:formatCode>#,##0</c:formatCode>
                <c:ptCount val="15"/>
                <c:pt idx="0">
                  <c:v>341.74400000000003</c:v>
                </c:pt>
                <c:pt idx="1">
                  <c:v>380.15699999999998</c:v>
                </c:pt>
                <c:pt idx="2">
                  <c:v>438.62887390200922</c:v>
                </c:pt>
                <c:pt idx="3">
                  <c:v>503.25863682749304</c:v>
                </c:pt>
                <c:pt idx="4">
                  <c:v>603.7062452943228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E2-4B3A-8C89-4B5B4FCD27D8}"/>
            </c:ext>
          </c:extLst>
        </c:ser>
        <c:ser>
          <c:idx val="2"/>
          <c:order val="2"/>
          <c:tx>
            <c:strRef>
              <c:f>'Elemzés 2'!$V$125</c:f>
              <c:strCache>
                <c:ptCount val="1"/>
                <c:pt idx="0">
                  <c:v>Alsó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'Elemzés 2'!$R$126:$S$140</c:f>
              <c:multiLvlStrCache>
                <c:ptCount val="15"/>
                <c:lvl>
                  <c:pt idx="0">
                    <c:v>2011</c:v>
                  </c:pt>
                  <c:pt idx="1">
                    <c:v>2 015</c:v>
                  </c:pt>
                  <c:pt idx="2">
                    <c:v>2 020</c:v>
                  </c:pt>
                  <c:pt idx="3">
                    <c:v>2025 bázis</c:v>
                  </c:pt>
                  <c:pt idx="4">
                    <c:v>2025 modellezés</c:v>
                  </c:pt>
                  <c:pt idx="5">
                    <c:v>2011</c:v>
                  </c:pt>
                  <c:pt idx="6">
                    <c:v>2015</c:v>
                  </c:pt>
                  <c:pt idx="7">
                    <c:v>2020</c:v>
                  </c:pt>
                  <c:pt idx="8">
                    <c:v>2025 bázis</c:v>
                  </c:pt>
                  <c:pt idx="9">
                    <c:v>2025 modellezés</c:v>
                  </c:pt>
                  <c:pt idx="10">
                    <c:v>2011</c:v>
                  </c:pt>
                  <c:pt idx="11">
                    <c:v>2015</c:v>
                  </c:pt>
                  <c:pt idx="12">
                    <c:v>2020</c:v>
                  </c:pt>
                  <c:pt idx="13">
                    <c:v>2025 bázis</c:v>
                  </c:pt>
                  <c:pt idx="14">
                    <c:v>2025 modellezés</c:v>
                  </c:pt>
                </c:lvl>
                <c:lvl>
                  <c:pt idx="0">
                    <c:v>Upstream</c:v>
                  </c:pt>
                  <c:pt idx="5">
                    <c:v>Gyártás</c:v>
                  </c:pt>
                  <c:pt idx="10">
                    <c:v>Down-stream</c:v>
                  </c:pt>
                </c:lvl>
              </c:multiLvlStrCache>
            </c:multiLvlStrRef>
          </c:cat>
          <c:val>
            <c:numRef>
              <c:f>'Elemzés 2'!$V$126:$V$140</c:f>
              <c:numCache>
                <c:formatCode>#,##0</c:formatCode>
                <c:ptCount val="15"/>
                <c:pt idx="0">
                  <c:v>79.004000000000005</c:v>
                </c:pt>
                <c:pt idx="1">
                  <c:v>84.266999999999996</c:v>
                </c:pt>
                <c:pt idx="2">
                  <c:v>93.847098001108492</c:v>
                </c:pt>
                <c:pt idx="3">
                  <c:v>105.23372564413476</c:v>
                </c:pt>
                <c:pt idx="4">
                  <c:v>126.23778856025952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E2-4B3A-8C89-4B5B4FCD27D8}"/>
            </c:ext>
          </c:extLst>
        </c:ser>
        <c:ser>
          <c:idx val="3"/>
          <c:order val="3"/>
          <c:tx>
            <c:strRef>
              <c:f>'Elemzés 2'!$W$125</c:f>
              <c:strCache>
                <c:ptCount val="1"/>
                <c:pt idx="0">
                  <c:v>Felső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'Elemzés 2'!$R$126:$S$140</c:f>
              <c:multiLvlStrCache>
                <c:ptCount val="15"/>
                <c:lvl>
                  <c:pt idx="0">
                    <c:v>2011</c:v>
                  </c:pt>
                  <c:pt idx="1">
                    <c:v>2 015</c:v>
                  </c:pt>
                  <c:pt idx="2">
                    <c:v>2 020</c:v>
                  </c:pt>
                  <c:pt idx="3">
                    <c:v>2025 bázis</c:v>
                  </c:pt>
                  <c:pt idx="4">
                    <c:v>2025 modellezés</c:v>
                  </c:pt>
                  <c:pt idx="5">
                    <c:v>2011</c:v>
                  </c:pt>
                  <c:pt idx="6">
                    <c:v>2015</c:v>
                  </c:pt>
                  <c:pt idx="7">
                    <c:v>2020</c:v>
                  </c:pt>
                  <c:pt idx="8">
                    <c:v>2025 bázis</c:v>
                  </c:pt>
                  <c:pt idx="9">
                    <c:v>2025 modellezés</c:v>
                  </c:pt>
                  <c:pt idx="10">
                    <c:v>2011</c:v>
                  </c:pt>
                  <c:pt idx="11">
                    <c:v>2015</c:v>
                  </c:pt>
                  <c:pt idx="12">
                    <c:v>2020</c:v>
                  </c:pt>
                  <c:pt idx="13">
                    <c:v>2025 bázis</c:v>
                  </c:pt>
                  <c:pt idx="14">
                    <c:v>2025 modellezés</c:v>
                  </c:pt>
                </c:lvl>
                <c:lvl>
                  <c:pt idx="0">
                    <c:v>Upstream</c:v>
                  </c:pt>
                  <c:pt idx="5">
                    <c:v>Gyártás</c:v>
                  </c:pt>
                  <c:pt idx="10">
                    <c:v>Down-stream</c:v>
                  </c:pt>
                </c:lvl>
              </c:multiLvlStrCache>
            </c:multiLvlStrRef>
          </c:cat>
          <c:val>
            <c:numRef>
              <c:f>'Elemzés 2'!$W$126:$W$140</c:f>
              <c:numCache>
                <c:formatCode>General</c:formatCode>
                <c:ptCount val="15"/>
                <c:pt idx="5" formatCode="#,##0">
                  <c:v>257.35000000000002</c:v>
                </c:pt>
                <c:pt idx="6" formatCode="#,##0">
                  <c:v>311.21600000000001</c:v>
                </c:pt>
                <c:pt idx="7" formatCode="#,##0">
                  <c:v>398.93300116151187</c:v>
                </c:pt>
                <c:pt idx="8" formatCode="#,##0">
                  <c:v>506.12633138660652</c:v>
                </c:pt>
                <c:pt idx="9" formatCode="#,##0">
                  <c:v>477.57579051226827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2E2-4B3A-8C89-4B5B4FCD27D8}"/>
            </c:ext>
          </c:extLst>
        </c:ser>
        <c:ser>
          <c:idx val="4"/>
          <c:order val="4"/>
          <c:tx>
            <c:strRef>
              <c:f>'Elemzés 2'!$X$125</c:f>
              <c:strCache>
                <c:ptCount val="1"/>
                <c:pt idx="0">
                  <c:v>Közép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'Elemzés 2'!$R$126:$S$140</c:f>
              <c:multiLvlStrCache>
                <c:ptCount val="15"/>
                <c:lvl>
                  <c:pt idx="0">
                    <c:v>2011</c:v>
                  </c:pt>
                  <c:pt idx="1">
                    <c:v>2 015</c:v>
                  </c:pt>
                  <c:pt idx="2">
                    <c:v>2 020</c:v>
                  </c:pt>
                  <c:pt idx="3">
                    <c:v>2025 bázis</c:v>
                  </c:pt>
                  <c:pt idx="4">
                    <c:v>2025 modellezés</c:v>
                  </c:pt>
                  <c:pt idx="5">
                    <c:v>2011</c:v>
                  </c:pt>
                  <c:pt idx="6">
                    <c:v>2015</c:v>
                  </c:pt>
                  <c:pt idx="7">
                    <c:v>2020</c:v>
                  </c:pt>
                  <c:pt idx="8">
                    <c:v>2025 bázis</c:v>
                  </c:pt>
                  <c:pt idx="9">
                    <c:v>2025 modellezés</c:v>
                  </c:pt>
                  <c:pt idx="10">
                    <c:v>2011</c:v>
                  </c:pt>
                  <c:pt idx="11">
                    <c:v>2015</c:v>
                  </c:pt>
                  <c:pt idx="12">
                    <c:v>2020</c:v>
                  </c:pt>
                  <c:pt idx="13">
                    <c:v>2025 bázis</c:v>
                  </c:pt>
                  <c:pt idx="14">
                    <c:v>2025 modellezés</c:v>
                  </c:pt>
                </c:lvl>
                <c:lvl>
                  <c:pt idx="0">
                    <c:v>Upstream</c:v>
                  </c:pt>
                  <c:pt idx="5">
                    <c:v>Gyártás</c:v>
                  </c:pt>
                  <c:pt idx="10">
                    <c:v>Down-stream</c:v>
                  </c:pt>
                </c:lvl>
              </c:multiLvlStrCache>
            </c:multiLvlStrRef>
          </c:cat>
          <c:val>
            <c:numRef>
              <c:f>'Elemzés 2'!$X$126:$X$140</c:f>
              <c:numCache>
                <c:formatCode>General</c:formatCode>
                <c:ptCount val="15"/>
                <c:pt idx="5" formatCode="#,##0">
                  <c:v>1114.008</c:v>
                </c:pt>
                <c:pt idx="6" formatCode="#,##0">
                  <c:v>1138.346</c:v>
                </c:pt>
                <c:pt idx="7" formatCode="#,##0">
                  <c:v>1356.9693696027978</c:v>
                </c:pt>
                <c:pt idx="8" formatCode="#,##0">
                  <c:v>1560.9334942343121</c:v>
                </c:pt>
                <c:pt idx="9" formatCode="#,##0">
                  <c:v>1472.8813760859305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2E2-4B3A-8C89-4B5B4FCD27D8}"/>
            </c:ext>
          </c:extLst>
        </c:ser>
        <c:ser>
          <c:idx val="5"/>
          <c:order val="5"/>
          <c:tx>
            <c:strRef>
              <c:f>'Elemzés 2'!$Y$125</c:f>
              <c:strCache>
                <c:ptCount val="1"/>
                <c:pt idx="0">
                  <c:v>Alsó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'Elemzés 2'!$R$126:$S$140</c:f>
              <c:multiLvlStrCache>
                <c:ptCount val="15"/>
                <c:lvl>
                  <c:pt idx="0">
                    <c:v>2011</c:v>
                  </c:pt>
                  <c:pt idx="1">
                    <c:v>2 015</c:v>
                  </c:pt>
                  <c:pt idx="2">
                    <c:v>2 020</c:v>
                  </c:pt>
                  <c:pt idx="3">
                    <c:v>2025 bázis</c:v>
                  </c:pt>
                  <c:pt idx="4">
                    <c:v>2025 modellezés</c:v>
                  </c:pt>
                  <c:pt idx="5">
                    <c:v>2011</c:v>
                  </c:pt>
                  <c:pt idx="6">
                    <c:v>2015</c:v>
                  </c:pt>
                  <c:pt idx="7">
                    <c:v>2020</c:v>
                  </c:pt>
                  <c:pt idx="8">
                    <c:v>2025 bázis</c:v>
                  </c:pt>
                  <c:pt idx="9">
                    <c:v>2025 modellezés</c:v>
                  </c:pt>
                  <c:pt idx="10">
                    <c:v>2011</c:v>
                  </c:pt>
                  <c:pt idx="11">
                    <c:v>2015</c:v>
                  </c:pt>
                  <c:pt idx="12">
                    <c:v>2020</c:v>
                  </c:pt>
                  <c:pt idx="13">
                    <c:v>2025 bázis</c:v>
                  </c:pt>
                  <c:pt idx="14">
                    <c:v>2025 modellezés</c:v>
                  </c:pt>
                </c:lvl>
                <c:lvl>
                  <c:pt idx="0">
                    <c:v>Upstream</c:v>
                  </c:pt>
                  <c:pt idx="5">
                    <c:v>Gyártás</c:v>
                  </c:pt>
                  <c:pt idx="10">
                    <c:v>Down-stream</c:v>
                  </c:pt>
                </c:lvl>
              </c:multiLvlStrCache>
            </c:multiLvlStrRef>
          </c:cat>
          <c:val>
            <c:numRef>
              <c:f>'Elemzés 2'!$Y$126:$Y$140</c:f>
              <c:numCache>
                <c:formatCode>General</c:formatCode>
                <c:ptCount val="15"/>
                <c:pt idx="5" formatCode="#,##0">
                  <c:v>202.34899999999999</c:v>
                </c:pt>
                <c:pt idx="6" formatCode="#,##0">
                  <c:v>196.13399999999999</c:v>
                </c:pt>
                <c:pt idx="7" formatCode="#,##0">
                  <c:v>232.19985229256227</c:v>
                </c:pt>
                <c:pt idx="8" formatCode="#,##0">
                  <c:v>266.05882663174293</c:v>
                </c:pt>
                <c:pt idx="9" formatCode="#,##0">
                  <c:v>251.05047212879234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2E2-4B3A-8C89-4B5B4FCD27D8}"/>
            </c:ext>
          </c:extLst>
        </c:ser>
        <c:ser>
          <c:idx val="6"/>
          <c:order val="6"/>
          <c:tx>
            <c:strRef>
              <c:f>'Elemzés 2'!$Z$125</c:f>
              <c:strCache>
                <c:ptCount val="1"/>
                <c:pt idx="0">
                  <c:v>Felső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'Elemzés 2'!$R$126:$S$140</c:f>
              <c:multiLvlStrCache>
                <c:ptCount val="15"/>
                <c:lvl>
                  <c:pt idx="0">
                    <c:v>2011</c:v>
                  </c:pt>
                  <c:pt idx="1">
                    <c:v>2 015</c:v>
                  </c:pt>
                  <c:pt idx="2">
                    <c:v>2 020</c:v>
                  </c:pt>
                  <c:pt idx="3">
                    <c:v>2025 bázis</c:v>
                  </c:pt>
                  <c:pt idx="4">
                    <c:v>2025 modellezés</c:v>
                  </c:pt>
                  <c:pt idx="5">
                    <c:v>2011</c:v>
                  </c:pt>
                  <c:pt idx="6">
                    <c:v>2015</c:v>
                  </c:pt>
                  <c:pt idx="7">
                    <c:v>2020</c:v>
                  </c:pt>
                  <c:pt idx="8">
                    <c:v>2025 bázis</c:v>
                  </c:pt>
                  <c:pt idx="9">
                    <c:v>2025 modellezés</c:v>
                  </c:pt>
                  <c:pt idx="10">
                    <c:v>2011</c:v>
                  </c:pt>
                  <c:pt idx="11">
                    <c:v>2015</c:v>
                  </c:pt>
                  <c:pt idx="12">
                    <c:v>2020</c:v>
                  </c:pt>
                  <c:pt idx="13">
                    <c:v>2025 bázis</c:v>
                  </c:pt>
                  <c:pt idx="14">
                    <c:v>2025 modellezés</c:v>
                  </c:pt>
                </c:lvl>
                <c:lvl>
                  <c:pt idx="0">
                    <c:v>Upstream</c:v>
                  </c:pt>
                  <c:pt idx="5">
                    <c:v>Gyártás</c:v>
                  </c:pt>
                  <c:pt idx="10">
                    <c:v>Down-stream</c:v>
                  </c:pt>
                </c:lvl>
              </c:multiLvlStrCache>
            </c:multiLvlStrRef>
          </c:cat>
          <c:val>
            <c:numRef>
              <c:f>'Elemzés 2'!$Z$126:$Z$140</c:f>
              <c:numCache>
                <c:formatCode>General</c:formatCode>
                <c:ptCount val="15"/>
                <c:pt idx="10" formatCode="#,##0">
                  <c:v>509.82299999999998</c:v>
                </c:pt>
                <c:pt idx="11" formatCode="#,##0">
                  <c:v>582.20899999999995</c:v>
                </c:pt>
                <c:pt idx="12" formatCode="#,##0">
                  <c:v>621.64324577392051</c:v>
                </c:pt>
                <c:pt idx="13" formatCode="#,##0">
                  <c:v>689.3886210691619</c:v>
                </c:pt>
                <c:pt idx="14" formatCode="#,##0">
                  <c:v>693.08637086677322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2E2-4B3A-8C89-4B5B4FCD27D8}"/>
            </c:ext>
          </c:extLst>
        </c:ser>
        <c:ser>
          <c:idx val="7"/>
          <c:order val="7"/>
          <c:tx>
            <c:strRef>
              <c:f>'Elemzés 2'!$AA$125</c:f>
              <c:strCache>
                <c:ptCount val="1"/>
                <c:pt idx="0">
                  <c:v>Közép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'Elemzés 2'!$R$126:$S$140</c:f>
              <c:multiLvlStrCache>
                <c:ptCount val="15"/>
                <c:lvl>
                  <c:pt idx="0">
                    <c:v>2011</c:v>
                  </c:pt>
                  <c:pt idx="1">
                    <c:v>2 015</c:v>
                  </c:pt>
                  <c:pt idx="2">
                    <c:v>2 020</c:v>
                  </c:pt>
                  <c:pt idx="3">
                    <c:v>2025 bázis</c:v>
                  </c:pt>
                  <c:pt idx="4">
                    <c:v>2025 modellezés</c:v>
                  </c:pt>
                  <c:pt idx="5">
                    <c:v>2011</c:v>
                  </c:pt>
                  <c:pt idx="6">
                    <c:v>2015</c:v>
                  </c:pt>
                  <c:pt idx="7">
                    <c:v>2020</c:v>
                  </c:pt>
                  <c:pt idx="8">
                    <c:v>2025 bázis</c:v>
                  </c:pt>
                  <c:pt idx="9">
                    <c:v>2025 modellezés</c:v>
                  </c:pt>
                  <c:pt idx="10">
                    <c:v>2011</c:v>
                  </c:pt>
                  <c:pt idx="11">
                    <c:v>2015</c:v>
                  </c:pt>
                  <c:pt idx="12">
                    <c:v>2020</c:v>
                  </c:pt>
                  <c:pt idx="13">
                    <c:v>2025 bázis</c:v>
                  </c:pt>
                  <c:pt idx="14">
                    <c:v>2025 modellezés</c:v>
                  </c:pt>
                </c:lvl>
                <c:lvl>
                  <c:pt idx="0">
                    <c:v>Upstream</c:v>
                  </c:pt>
                  <c:pt idx="5">
                    <c:v>Gyártás</c:v>
                  </c:pt>
                  <c:pt idx="10">
                    <c:v>Down-stream</c:v>
                  </c:pt>
                </c:lvl>
              </c:multiLvlStrCache>
            </c:multiLvlStrRef>
          </c:cat>
          <c:val>
            <c:numRef>
              <c:f>'Elemzés 2'!$AA$126:$AA$140</c:f>
              <c:numCache>
                <c:formatCode>General</c:formatCode>
                <c:ptCount val="15"/>
                <c:pt idx="10" formatCode="#,##0">
                  <c:v>842.24099999999999</c:v>
                </c:pt>
                <c:pt idx="11" formatCode="#,##0">
                  <c:v>881.30399999999997</c:v>
                </c:pt>
                <c:pt idx="12" formatCode="#,##0">
                  <c:v>933.93860452176284</c:v>
                </c:pt>
                <c:pt idx="13" formatCode="#,##0">
                  <c:v>974.88876016180336</c:v>
                </c:pt>
                <c:pt idx="14" formatCode="#,##0">
                  <c:v>980.11787855077694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2E2-4B3A-8C89-4B5B4FCD27D8}"/>
            </c:ext>
          </c:extLst>
        </c:ser>
        <c:ser>
          <c:idx val="8"/>
          <c:order val="8"/>
          <c:tx>
            <c:strRef>
              <c:f>'Elemzés 2'!$AB$125</c:f>
              <c:strCache>
                <c:ptCount val="1"/>
                <c:pt idx="0">
                  <c:v>Alsó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'Elemzés 2'!$R$126:$S$140</c:f>
              <c:multiLvlStrCache>
                <c:ptCount val="15"/>
                <c:lvl>
                  <c:pt idx="0">
                    <c:v>2011</c:v>
                  </c:pt>
                  <c:pt idx="1">
                    <c:v>2 015</c:v>
                  </c:pt>
                  <c:pt idx="2">
                    <c:v>2 020</c:v>
                  </c:pt>
                  <c:pt idx="3">
                    <c:v>2025 bázis</c:v>
                  </c:pt>
                  <c:pt idx="4">
                    <c:v>2025 modellezés</c:v>
                  </c:pt>
                  <c:pt idx="5">
                    <c:v>2011</c:v>
                  </c:pt>
                  <c:pt idx="6">
                    <c:v>2015</c:v>
                  </c:pt>
                  <c:pt idx="7">
                    <c:v>2020</c:v>
                  </c:pt>
                  <c:pt idx="8">
                    <c:v>2025 bázis</c:v>
                  </c:pt>
                  <c:pt idx="9">
                    <c:v>2025 modellezés</c:v>
                  </c:pt>
                  <c:pt idx="10">
                    <c:v>2011</c:v>
                  </c:pt>
                  <c:pt idx="11">
                    <c:v>2015</c:v>
                  </c:pt>
                  <c:pt idx="12">
                    <c:v>2020</c:v>
                  </c:pt>
                  <c:pt idx="13">
                    <c:v>2025 bázis</c:v>
                  </c:pt>
                  <c:pt idx="14">
                    <c:v>2025 modellezés</c:v>
                  </c:pt>
                </c:lvl>
                <c:lvl>
                  <c:pt idx="0">
                    <c:v>Upstream</c:v>
                  </c:pt>
                  <c:pt idx="5">
                    <c:v>Gyártás</c:v>
                  </c:pt>
                  <c:pt idx="10">
                    <c:v>Down-stream</c:v>
                  </c:pt>
                </c:lvl>
              </c:multiLvlStrCache>
            </c:multiLvlStrRef>
          </c:cat>
          <c:val>
            <c:numRef>
              <c:f>'Elemzés 2'!$AB$126:$AB$140</c:f>
              <c:numCache>
                <c:formatCode>General</c:formatCode>
                <c:ptCount val="15"/>
                <c:pt idx="10" formatCode="#,##0">
                  <c:v>109.398</c:v>
                </c:pt>
                <c:pt idx="11" formatCode="#,##0">
                  <c:v>93.555000000000007</c:v>
                </c:pt>
                <c:pt idx="12" formatCode="#,##0">
                  <c:v>97.636874661199172</c:v>
                </c:pt>
                <c:pt idx="13" formatCode="#,##0">
                  <c:v>92.57924319798019</c:v>
                </c:pt>
                <c:pt idx="14" formatCode="#,##0">
                  <c:v>93.0758206977182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2E2-4B3A-8C89-4B5B4FCD27D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746493328"/>
        <c:axId val="746494160"/>
      </c:barChart>
      <c:catAx>
        <c:axId val="746493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30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746494160"/>
        <c:crosses val="autoZero"/>
        <c:auto val="1"/>
        <c:lblAlgn val="ctr"/>
        <c:lblOffset val="100"/>
        <c:noMultiLvlLbl val="0"/>
      </c:catAx>
      <c:valAx>
        <c:axId val="746494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'Elemzés 2'!$V$112</c:f>
              <c:strCache>
                <c:ptCount val="1"/>
                <c:pt idx="0">
                  <c:v>Ezer fő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746493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7"/>
        <c:delete val="1"/>
      </c:legendEntry>
      <c:legendEntry>
        <c:idx val="8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'Elemzés 2'!$AH$112</c:f>
          <c:strCache>
            <c:ptCount val="1"/>
            <c:pt idx="0">
              <c:v>Foglalkoztatottak végzettsége - 2025 évi modellezés - 2025 évi bázis modell</c:v>
            </c:pt>
          </c:strCache>
        </c:strRef>
      </c:tx>
      <c:layout>
        <c:manualLayout>
          <c:xMode val="edge"/>
          <c:yMode val="edge"/>
          <c:x val="0.15983457402812246"/>
          <c:y val="1.71821305841924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>
        <c:manualLayout>
          <c:layoutTarget val="inner"/>
          <c:xMode val="edge"/>
          <c:yMode val="edge"/>
          <c:x val="0.11806113087498597"/>
          <c:y val="0.20114818121961558"/>
          <c:w val="0.77952914309852095"/>
          <c:h val="0.7307911897610737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'Elemzés 2'!$AJ$125</c:f>
              <c:strCache>
                <c:ptCount val="1"/>
                <c:pt idx="0">
                  <c:v>Felső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'Elemzés 2'!$AI$126:$AI$129</c:f>
              <c:strCache>
                <c:ptCount val="4"/>
                <c:pt idx="0">
                  <c:v>Upstream</c:v>
                </c:pt>
                <c:pt idx="1">
                  <c:v>Gyártás</c:v>
                </c:pt>
                <c:pt idx="2">
                  <c:v>Down-stream</c:v>
                </c:pt>
                <c:pt idx="3">
                  <c:v>Összesen</c:v>
                </c:pt>
              </c:strCache>
            </c:strRef>
          </c:cat>
          <c:val>
            <c:numRef>
              <c:f>'Elemzés 2'!$AJ$126:$AJ$129</c:f>
              <c:numCache>
                <c:formatCode>#,##0</c:formatCode>
                <c:ptCount val="4"/>
                <c:pt idx="0">
                  <c:v>56.968908592856394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44-4BD9-A0C7-425F647AA51D}"/>
            </c:ext>
          </c:extLst>
        </c:ser>
        <c:ser>
          <c:idx val="1"/>
          <c:order val="1"/>
          <c:tx>
            <c:strRef>
              <c:f>'Elemzés 2'!$AK$125</c:f>
              <c:strCache>
                <c:ptCount val="1"/>
                <c:pt idx="0">
                  <c:v>Közép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'Elemzés 2'!$AI$126:$AI$129</c:f>
              <c:strCache>
                <c:ptCount val="4"/>
                <c:pt idx="0">
                  <c:v>Upstream</c:v>
                </c:pt>
                <c:pt idx="1">
                  <c:v>Gyártás</c:v>
                </c:pt>
                <c:pt idx="2">
                  <c:v>Down-stream</c:v>
                </c:pt>
                <c:pt idx="3">
                  <c:v>Összesen</c:v>
                </c:pt>
              </c:strCache>
            </c:strRef>
          </c:cat>
          <c:val>
            <c:numRef>
              <c:f>'Elemzés 2'!$AK$126:$AK$129</c:f>
              <c:numCache>
                <c:formatCode>#,##0</c:formatCode>
                <c:ptCount val="4"/>
                <c:pt idx="0">
                  <c:v>100.44760846682976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44-4BD9-A0C7-425F647AA51D}"/>
            </c:ext>
          </c:extLst>
        </c:ser>
        <c:ser>
          <c:idx val="2"/>
          <c:order val="2"/>
          <c:tx>
            <c:strRef>
              <c:f>'Elemzés 2'!$AL$125</c:f>
              <c:strCache>
                <c:ptCount val="1"/>
                <c:pt idx="0">
                  <c:v>Alsó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'Elemzés 2'!$AI$126:$AI$129</c:f>
              <c:strCache>
                <c:ptCount val="4"/>
                <c:pt idx="0">
                  <c:v>Upstream</c:v>
                </c:pt>
                <c:pt idx="1">
                  <c:v>Gyártás</c:v>
                </c:pt>
                <c:pt idx="2">
                  <c:v>Down-stream</c:v>
                </c:pt>
                <c:pt idx="3">
                  <c:v>Összesen</c:v>
                </c:pt>
              </c:strCache>
            </c:strRef>
          </c:cat>
          <c:val>
            <c:numRef>
              <c:f>'Elemzés 2'!$AL$126:$AL$129</c:f>
              <c:numCache>
                <c:formatCode>#,##0</c:formatCode>
                <c:ptCount val="4"/>
                <c:pt idx="0">
                  <c:v>21.004062916124752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A44-4BD9-A0C7-425F647AA51D}"/>
            </c:ext>
          </c:extLst>
        </c:ser>
        <c:ser>
          <c:idx val="3"/>
          <c:order val="3"/>
          <c:tx>
            <c:strRef>
              <c:f>'Elemzés 2'!$AM$125</c:f>
              <c:strCache>
                <c:ptCount val="1"/>
                <c:pt idx="0">
                  <c:v>Felső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'Elemzés 2'!$AI$126:$AI$129</c:f>
              <c:strCache>
                <c:ptCount val="4"/>
                <c:pt idx="0">
                  <c:v>Upstream</c:v>
                </c:pt>
                <c:pt idx="1">
                  <c:v>Gyártás</c:v>
                </c:pt>
                <c:pt idx="2">
                  <c:v>Down-stream</c:v>
                </c:pt>
                <c:pt idx="3">
                  <c:v>Összesen</c:v>
                </c:pt>
              </c:strCache>
            </c:strRef>
          </c:cat>
          <c:val>
            <c:numRef>
              <c:f>'Elemzés 2'!$AM$126:$AM$129</c:f>
              <c:numCache>
                <c:formatCode>#,##0</c:formatCode>
                <c:ptCount val="4"/>
                <c:pt idx="1">
                  <c:v>-28.550540874338253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A44-4BD9-A0C7-425F647AA51D}"/>
            </c:ext>
          </c:extLst>
        </c:ser>
        <c:ser>
          <c:idx val="4"/>
          <c:order val="4"/>
          <c:tx>
            <c:strRef>
              <c:f>'Elemzés 2'!$AN$125</c:f>
              <c:strCache>
                <c:ptCount val="1"/>
                <c:pt idx="0">
                  <c:v>Közép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'Elemzés 2'!$AI$126:$AI$129</c:f>
              <c:strCache>
                <c:ptCount val="4"/>
                <c:pt idx="0">
                  <c:v>Upstream</c:v>
                </c:pt>
                <c:pt idx="1">
                  <c:v>Gyártás</c:v>
                </c:pt>
                <c:pt idx="2">
                  <c:v>Down-stream</c:v>
                </c:pt>
                <c:pt idx="3">
                  <c:v>Összesen</c:v>
                </c:pt>
              </c:strCache>
            </c:strRef>
          </c:cat>
          <c:val>
            <c:numRef>
              <c:f>'Elemzés 2'!$AN$126:$AN$129</c:f>
              <c:numCache>
                <c:formatCode>#,##0</c:formatCode>
                <c:ptCount val="4"/>
                <c:pt idx="1">
                  <c:v>-88.052118148381624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A44-4BD9-A0C7-425F647AA51D}"/>
            </c:ext>
          </c:extLst>
        </c:ser>
        <c:ser>
          <c:idx val="5"/>
          <c:order val="5"/>
          <c:tx>
            <c:strRef>
              <c:f>'Elemzés 2'!$AO$125</c:f>
              <c:strCache>
                <c:ptCount val="1"/>
                <c:pt idx="0">
                  <c:v>Alsó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'Elemzés 2'!$AI$126:$AI$129</c:f>
              <c:strCache>
                <c:ptCount val="4"/>
                <c:pt idx="0">
                  <c:v>Upstream</c:v>
                </c:pt>
                <c:pt idx="1">
                  <c:v>Gyártás</c:v>
                </c:pt>
                <c:pt idx="2">
                  <c:v>Down-stream</c:v>
                </c:pt>
                <c:pt idx="3">
                  <c:v>Összesen</c:v>
                </c:pt>
              </c:strCache>
            </c:strRef>
          </c:cat>
          <c:val>
            <c:numRef>
              <c:f>'Elemzés 2'!$AO$126:$AO$129</c:f>
              <c:numCache>
                <c:formatCode>#,##0</c:formatCode>
                <c:ptCount val="4"/>
                <c:pt idx="1">
                  <c:v>-15.008354502950596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A44-4BD9-A0C7-425F647AA51D}"/>
            </c:ext>
          </c:extLst>
        </c:ser>
        <c:ser>
          <c:idx val="6"/>
          <c:order val="6"/>
          <c:tx>
            <c:strRef>
              <c:f>'Elemzés 2'!$AP$125</c:f>
              <c:strCache>
                <c:ptCount val="1"/>
                <c:pt idx="0">
                  <c:v>Felső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'Elemzés 2'!$AI$126:$AI$129</c:f>
              <c:strCache>
                <c:ptCount val="4"/>
                <c:pt idx="0">
                  <c:v>Upstream</c:v>
                </c:pt>
                <c:pt idx="1">
                  <c:v>Gyártás</c:v>
                </c:pt>
                <c:pt idx="2">
                  <c:v>Down-stream</c:v>
                </c:pt>
                <c:pt idx="3">
                  <c:v>Összesen</c:v>
                </c:pt>
              </c:strCache>
            </c:strRef>
          </c:cat>
          <c:val>
            <c:numRef>
              <c:f>'Elemzés 2'!$AP$126:$AP$129</c:f>
              <c:numCache>
                <c:formatCode>General</c:formatCode>
                <c:ptCount val="4"/>
                <c:pt idx="2" formatCode="#,##0">
                  <c:v>3.6977497976113227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A44-4BD9-A0C7-425F647AA51D}"/>
            </c:ext>
          </c:extLst>
        </c:ser>
        <c:ser>
          <c:idx val="7"/>
          <c:order val="7"/>
          <c:tx>
            <c:strRef>
              <c:f>'Elemzés 2'!$AQ$125</c:f>
              <c:strCache>
                <c:ptCount val="1"/>
                <c:pt idx="0">
                  <c:v>Közép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'Elemzés 2'!$AI$126:$AI$129</c:f>
              <c:strCache>
                <c:ptCount val="4"/>
                <c:pt idx="0">
                  <c:v>Upstream</c:v>
                </c:pt>
                <c:pt idx="1">
                  <c:v>Gyártás</c:v>
                </c:pt>
                <c:pt idx="2">
                  <c:v>Down-stream</c:v>
                </c:pt>
                <c:pt idx="3">
                  <c:v>Összesen</c:v>
                </c:pt>
              </c:strCache>
            </c:strRef>
          </c:cat>
          <c:val>
            <c:numRef>
              <c:f>'Elemzés 2'!$AQ$126:$AQ$129</c:f>
              <c:numCache>
                <c:formatCode>General</c:formatCode>
                <c:ptCount val="4"/>
                <c:pt idx="2" formatCode="#,##0">
                  <c:v>5.2291183889735748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A44-4BD9-A0C7-425F647AA51D}"/>
            </c:ext>
          </c:extLst>
        </c:ser>
        <c:ser>
          <c:idx val="8"/>
          <c:order val="8"/>
          <c:tx>
            <c:strRef>
              <c:f>'Elemzés 2'!$AR$125</c:f>
              <c:strCache>
                <c:ptCount val="1"/>
                <c:pt idx="0">
                  <c:v>Alsó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'Elemzés 2'!$AI$126:$AI$129</c:f>
              <c:strCache>
                <c:ptCount val="4"/>
                <c:pt idx="0">
                  <c:v>Upstream</c:v>
                </c:pt>
                <c:pt idx="1">
                  <c:v>Gyártás</c:v>
                </c:pt>
                <c:pt idx="2">
                  <c:v>Down-stream</c:v>
                </c:pt>
                <c:pt idx="3">
                  <c:v>Összesen</c:v>
                </c:pt>
              </c:strCache>
            </c:strRef>
          </c:cat>
          <c:val>
            <c:numRef>
              <c:f>'Elemzés 2'!$AR$126:$AR$129</c:f>
              <c:numCache>
                <c:formatCode>General</c:formatCode>
                <c:ptCount val="4"/>
                <c:pt idx="2" formatCode="#,##0">
                  <c:v>0.49657749973800946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A44-4BD9-A0C7-425F647AA51D}"/>
            </c:ext>
          </c:extLst>
        </c:ser>
        <c:ser>
          <c:idx val="9"/>
          <c:order val="9"/>
          <c:tx>
            <c:strRef>
              <c:f>'Elemzés 2'!$AS$125</c:f>
              <c:strCache>
                <c:ptCount val="1"/>
                <c:pt idx="0">
                  <c:v>Felső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'Elemzés 2'!$AI$126:$AI$129</c:f>
              <c:strCache>
                <c:ptCount val="4"/>
                <c:pt idx="0">
                  <c:v>Upstream</c:v>
                </c:pt>
                <c:pt idx="1">
                  <c:v>Gyártás</c:v>
                </c:pt>
                <c:pt idx="2">
                  <c:v>Down-stream</c:v>
                </c:pt>
                <c:pt idx="3">
                  <c:v>Összesen</c:v>
                </c:pt>
              </c:strCache>
            </c:strRef>
          </c:cat>
          <c:val>
            <c:numRef>
              <c:f>'Elemzés 2'!$AS$126:$AS$129</c:f>
              <c:numCache>
                <c:formatCode>General</c:formatCode>
                <c:ptCount val="4"/>
                <c:pt idx="3" formatCode="#,##0">
                  <c:v>32.116117516129464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A44-4BD9-A0C7-425F647AA51D}"/>
            </c:ext>
          </c:extLst>
        </c:ser>
        <c:ser>
          <c:idx val="10"/>
          <c:order val="10"/>
          <c:tx>
            <c:strRef>
              <c:f>'Elemzés 2'!$AT$125</c:f>
              <c:strCache>
                <c:ptCount val="1"/>
                <c:pt idx="0">
                  <c:v>Közép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'Elemzés 2'!$AI$126:$AI$129</c:f>
              <c:strCache>
                <c:ptCount val="4"/>
                <c:pt idx="0">
                  <c:v>Upstream</c:v>
                </c:pt>
                <c:pt idx="1">
                  <c:v>Gyártás</c:v>
                </c:pt>
                <c:pt idx="2">
                  <c:v>Down-stream</c:v>
                </c:pt>
                <c:pt idx="3">
                  <c:v>Összesen</c:v>
                </c:pt>
              </c:strCache>
            </c:strRef>
          </c:cat>
          <c:val>
            <c:numRef>
              <c:f>'Elemzés 2'!$AT$126:$AT$129</c:f>
              <c:numCache>
                <c:formatCode>General</c:formatCode>
                <c:ptCount val="4"/>
                <c:pt idx="3" formatCode="#,##0">
                  <c:v>17.624608707421714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A44-4BD9-A0C7-425F647AA51D}"/>
            </c:ext>
          </c:extLst>
        </c:ser>
        <c:ser>
          <c:idx val="11"/>
          <c:order val="11"/>
          <c:tx>
            <c:strRef>
              <c:f>'Elemzés 2'!$AU$125</c:f>
              <c:strCache>
                <c:ptCount val="1"/>
                <c:pt idx="0">
                  <c:v>Alsó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'Elemzés 2'!$AI$126:$AI$129</c:f>
              <c:strCache>
                <c:ptCount val="4"/>
                <c:pt idx="0">
                  <c:v>Upstream</c:v>
                </c:pt>
                <c:pt idx="1">
                  <c:v>Gyártás</c:v>
                </c:pt>
                <c:pt idx="2">
                  <c:v>Down-stream</c:v>
                </c:pt>
                <c:pt idx="3">
                  <c:v>Összesen</c:v>
                </c:pt>
              </c:strCache>
            </c:strRef>
          </c:cat>
          <c:val>
            <c:numRef>
              <c:f>'Elemzés 2'!$AU$126:$AU$129</c:f>
              <c:numCache>
                <c:formatCode>General</c:formatCode>
                <c:ptCount val="4"/>
                <c:pt idx="3" formatCode="#,##0">
                  <c:v>6.4922859129121662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A44-4BD9-A0C7-425F647AA51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646867952"/>
        <c:axId val="646867536"/>
      </c:barChart>
      <c:catAx>
        <c:axId val="646867952"/>
        <c:scaling>
          <c:orientation val="minMax"/>
        </c:scaling>
        <c:delete val="0"/>
        <c:axPos val="b"/>
        <c:title>
          <c:tx>
            <c:strRef>
              <c:f>'Elemzés 2'!$AL$122</c:f>
              <c:strCache>
                <c:ptCount val="1"/>
                <c:pt idx="0">
                  <c:v>A modellezési variáns tartalma: GDP növekedési ütem ( 2025/20) = 3,4%; Upstr._HÉ_% = +0,05%;  Gyárt._HÉ_% =-0,05%; Downstr._HÉ_% = +0%</c:v>
                </c:pt>
              </c:strCache>
            </c:strRef>
          </c:tx>
          <c:layout>
            <c:manualLayout>
              <c:xMode val="edge"/>
              <c:yMode val="edge"/>
              <c:x val="0.1437800485857382"/>
              <c:y val="7.656488170937396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646867536"/>
        <c:crosses val="autoZero"/>
        <c:auto val="1"/>
        <c:lblAlgn val="ctr"/>
        <c:lblOffset val="100"/>
        <c:noMultiLvlLbl val="0"/>
      </c:catAx>
      <c:valAx>
        <c:axId val="646867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'Elemzés 2'!$AO$112</c:f>
              <c:strCache>
                <c:ptCount val="1"/>
                <c:pt idx="0">
                  <c:v>Ezer fő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646867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7"/>
        <c:delete val="1"/>
      </c:legendEntry>
      <c:legendEntry>
        <c:idx val="8"/>
        <c:delete val="1"/>
      </c:legendEntry>
      <c:legendEntry>
        <c:idx val="9"/>
        <c:delete val="1"/>
      </c:legendEntry>
      <c:legendEntry>
        <c:idx val="10"/>
        <c:delete val="1"/>
      </c:legendEntry>
      <c:legendEntry>
        <c:idx val="1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'Elemzés 2'!$AX$112</c:f>
          <c:strCache>
            <c:ptCount val="1"/>
            <c:pt idx="0">
              <c:v>Foglalkoztatottak végzettsége - 2025 évi modellezés - 2025 évi bázis modell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'Elemzés 2'!$AY$125</c:f>
              <c:strCache>
                <c:ptCount val="1"/>
                <c:pt idx="0">
                  <c:v>Felső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'Elemzés 2'!$AW$126:$AX$140</c:f>
              <c:multiLvlStrCache>
                <c:ptCount val="15"/>
                <c:lvl>
                  <c:pt idx="0">
                    <c:v>2011</c:v>
                  </c:pt>
                  <c:pt idx="1">
                    <c:v>2015</c:v>
                  </c:pt>
                  <c:pt idx="2">
                    <c:v>2020</c:v>
                  </c:pt>
                  <c:pt idx="3">
                    <c:v>2025 bázis</c:v>
                  </c:pt>
                  <c:pt idx="4">
                    <c:v>2025 modellezés</c:v>
                  </c:pt>
                  <c:pt idx="5">
                    <c:v>2011</c:v>
                  </c:pt>
                  <c:pt idx="6">
                    <c:v>2015</c:v>
                  </c:pt>
                  <c:pt idx="7">
                    <c:v>2020</c:v>
                  </c:pt>
                  <c:pt idx="8">
                    <c:v>2025 bázis</c:v>
                  </c:pt>
                  <c:pt idx="9">
                    <c:v>2025 modellezés</c:v>
                  </c:pt>
                  <c:pt idx="10">
                    <c:v>2011</c:v>
                  </c:pt>
                  <c:pt idx="11">
                    <c:v>2015</c:v>
                  </c:pt>
                  <c:pt idx="12">
                    <c:v>2020</c:v>
                  </c:pt>
                  <c:pt idx="13">
                    <c:v>2025 bázis</c:v>
                  </c:pt>
                  <c:pt idx="14">
                    <c:v>2025 modellezés</c:v>
                  </c:pt>
                </c:lvl>
                <c:lvl>
                  <c:pt idx="0">
                    <c:v>Upstream</c:v>
                  </c:pt>
                  <c:pt idx="5">
                    <c:v>Gyártás</c:v>
                  </c:pt>
                  <c:pt idx="10">
                    <c:v>Down-stream</c:v>
                  </c:pt>
                </c:lvl>
              </c:multiLvlStrCache>
            </c:multiLvlStrRef>
          </c:cat>
          <c:val>
            <c:numRef>
              <c:f>'Elemzés 2'!$AY$126:$AY$140</c:f>
              <c:numCache>
                <c:formatCode>0%</c:formatCode>
                <c:ptCount val="15"/>
                <c:pt idx="0">
                  <c:v>0.3072829887979347</c:v>
                </c:pt>
                <c:pt idx="1">
                  <c:v>0.32196916608269094</c:v>
                </c:pt>
                <c:pt idx="2">
                  <c:v>0.31317822102527865</c:v>
                </c:pt>
                <c:pt idx="3">
                  <c:v>0.31929561377157184</c:v>
                </c:pt>
                <c:pt idx="4">
                  <c:v>0.31929561377157184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D0-4085-B82D-66F3F5ECA716}"/>
            </c:ext>
          </c:extLst>
        </c:ser>
        <c:ser>
          <c:idx val="1"/>
          <c:order val="1"/>
          <c:tx>
            <c:strRef>
              <c:f>'Elemzés 2'!$AZ$125</c:f>
              <c:strCache>
                <c:ptCount val="1"/>
                <c:pt idx="0">
                  <c:v>Közép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'Elemzés 2'!$AW$126:$AX$140</c:f>
              <c:multiLvlStrCache>
                <c:ptCount val="15"/>
                <c:lvl>
                  <c:pt idx="0">
                    <c:v>2011</c:v>
                  </c:pt>
                  <c:pt idx="1">
                    <c:v>2015</c:v>
                  </c:pt>
                  <c:pt idx="2">
                    <c:v>2020</c:v>
                  </c:pt>
                  <c:pt idx="3">
                    <c:v>2025 bázis</c:v>
                  </c:pt>
                  <c:pt idx="4">
                    <c:v>2025 modellezés</c:v>
                  </c:pt>
                  <c:pt idx="5">
                    <c:v>2011</c:v>
                  </c:pt>
                  <c:pt idx="6">
                    <c:v>2015</c:v>
                  </c:pt>
                  <c:pt idx="7">
                    <c:v>2020</c:v>
                  </c:pt>
                  <c:pt idx="8">
                    <c:v>2025 bázis</c:v>
                  </c:pt>
                  <c:pt idx="9">
                    <c:v>2025 modellezés</c:v>
                  </c:pt>
                  <c:pt idx="10">
                    <c:v>2011</c:v>
                  </c:pt>
                  <c:pt idx="11">
                    <c:v>2015</c:v>
                  </c:pt>
                  <c:pt idx="12">
                    <c:v>2020</c:v>
                  </c:pt>
                  <c:pt idx="13">
                    <c:v>2025 bázis</c:v>
                  </c:pt>
                  <c:pt idx="14">
                    <c:v>2025 modellezés</c:v>
                  </c:pt>
                </c:lvl>
                <c:lvl>
                  <c:pt idx="0">
                    <c:v>Upstream</c:v>
                  </c:pt>
                  <c:pt idx="5">
                    <c:v>Gyártás</c:v>
                  </c:pt>
                  <c:pt idx="10">
                    <c:v>Down-stream</c:v>
                  </c:pt>
                </c:lvl>
              </c:multiLvlStrCache>
            </c:multiLvlStrRef>
          </c:cat>
          <c:val>
            <c:numRef>
              <c:f>'Elemzés 2'!$AZ$126:$AZ$140</c:f>
              <c:numCache>
                <c:formatCode>0%</c:formatCode>
                <c:ptCount val="15"/>
                <c:pt idx="0">
                  <c:v>0.56264529427647569</c:v>
                </c:pt>
                <c:pt idx="1">
                  <c:v>0.55500613174491931</c:v>
                </c:pt>
                <c:pt idx="2">
                  <c:v>0.56577175192774698</c:v>
                </c:pt>
                <c:pt idx="3">
                  <c:v>0.56298218781963283</c:v>
                </c:pt>
                <c:pt idx="4">
                  <c:v>0.56298218781963272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D0-4085-B82D-66F3F5ECA716}"/>
            </c:ext>
          </c:extLst>
        </c:ser>
        <c:ser>
          <c:idx val="2"/>
          <c:order val="2"/>
          <c:tx>
            <c:strRef>
              <c:f>'Elemzés 2'!$BA$125</c:f>
              <c:strCache>
                <c:ptCount val="1"/>
                <c:pt idx="0">
                  <c:v>Alsó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'Elemzés 2'!$AW$126:$AX$140</c:f>
              <c:multiLvlStrCache>
                <c:ptCount val="15"/>
                <c:lvl>
                  <c:pt idx="0">
                    <c:v>2011</c:v>
                  </c:pt>
                  <c:pt idx="1">
                    <c:v>2015</c:v>
                  </c:pt>
                  <c:pt idx="2">
                    <c:v>2020</c:v>
                  </c:pt>
                  <c:pt idx="3">
                    <c:v>2025 bázis</c:v>
                  </c:pt>
                  <c:pt idx="4">
                    <c:v>2025 modellezés</c:v>
                  </c:pt>
                  <c:pt idx="5">
                    <c:v>2011</c:v>
                  </c:pt>
                  <c:pt idx="6">
                    <c:v>2015</c:v>
                  </c:pt>
                  <c:pt idx="7">
                    <c:v>2020</c:v>
                  </c:pt>
                  <c:pt idx="8">
                    <c:v>2025 bázis</c:v>
                  </c:pt>
                  <c:pt idx="9">
                    <c:v>2025 modellezés</c:v>
                  </c:pt>
                  <c:pt idx="10">
                    <c:v>2011</c:v>
                  </c:pt>
                  <c:pt idx="11">
                    <c:v>2015</c:v>
                  </c:pt>
                  <c:pt idx="12">
                    <c:v>2020</c:v>
                  </c:pt>
                  <c:pt idx="13">
                    <c:v>2025 bázis</c:v>
                  </c:pt>
                  <c:pt idx="14">
                    <c:v>2025 modellezés</c:v>
                  </c:pt>
                </c:lvl>
                <c:lvl>
                  <c:pt idx="0">
                    <c:v>Upstream</c:v>
                  </c:pt>
                  <c:pt idx="5">
                    <c:v>Gyártás</c:v>
                  </c:pt>
                  <c:pt idx="10">
                    <c:v>Down-stream</c:v>
                  </c:pt>
                </c:lvl>
              </c:multiLvlStrCache>
            </c:multiLvlStrRef>
          </c:cat>
          <c:val>
            <c:numRef>
              <c:f>'Elemzés 2'!$BA$126:$BA$140</c:f>
              <c:numCache>
                <c:formatCode>0%</c:formatCode>
                <c:ptCount val="15"/>
                <c:pt idx="0">
                  <c:v>0.13007171692558958</c:v>
                </c:pt>
                <c:pt idx="1">
                  <c:v>0.12302470217238962</c:v>
                </c:pt>
                <c:pt idx="2">
                  <c:v>0.12105002704697435</c:v>
                </c:pt>
                <c:pt idx="3">
                  <c:v>0.11772219840879529</c:v>
                </c:pt>
                <c:pt idx="4">
                  <c:v>0.1177221984087953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D0-4085-B82D-66F3F5ECA716}"/>
            </c:ext>
          </c:extLst>
        </c:ser>
        <c:ser>
          <c:idx val="3"/>
          <c:order val="3"/>
          <c:tx>
            <c:strRef>
              <c:f>'Elemzés 2'!$BB$125</c:f>
              <c:strCache>
                <c:ptCount val="1"/>
                <c:pt idx="0">
                  <c:v>Felső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'Elemzés 2'!$AW$126:$AX$140</c:f>
              <c:multiLvlStrCache>
                <c:ptCount val="15"/>
                <c:lvl>
                  <c:pt idx="0">
                    <c:v>2011</c:v>
                  </c:pt>
                  <c:pt idx="1">
                    <c:v>2015</c:v>
                  </c:pt>
                  <c:pt idx="2">
                    <c:v>2020</c:v>
                  </c:pt>
                  <c:pt idx="3">
                    <c:v>2025 bázis</c:v>
                  </c:pt>
                  <c:pt idx="4">
                    <c:v>2025 modellezés</c:v>
                  </c:pt>
                  <c:pt idx="5">
                    <c:v>2011</c:v>
                  </c:pt>
                  <c:pt idx="6">
                    <c:v>2015</c:v>
                  </c:pt>
                  <c:pt idx="7">
                    <c:v>2020</c:v>
                  </c:pt>
                  <c:pt idx="8">
                    <c:v>2025 bázis</c:v>
                  </c:pt>
                  <c:pt idx="9">
                    <c:v>2025 modellezés</c:v>
                  </c:pt>
                  <c:pt idx="10">
                    <c:v>2011</c:v>
                  </c:pt>
                  <c:pt idx="11">
                    <c:v>2015</c:v>
                  </c:pt>
                  <c:pt idx="12">
                    <c:v>2020</c:v>
                  </c:pt>
                  <c:pt idx="13">
                    <c:v>2025 bázis</c:v>
                  </c:pt>
                  <c:pt idx="14">
                    <c:v>2025 modellezés</c:v>
                  </c:pt>
                </c:lvl>
                <c:lvl>
                  <c:pt idx="0">
                    <c:v>Upstream</c:v>
                  </c:pt>
                  <c:pt idx="5">
                    <c:v>Gyártás</c:v>
                  </c:pt>
                  <c:pt idx="10">
                    <c:v>Down-stream</c:v>
                  </c:pt>
                </c:lvl>
              </c:multiLvlStrCache>
            </c:multiLvlStrRef>
          </c:cat>
          <c:val>
            <c:numRef>
              <c:f>'Elemzés 2'!$BB$126:$BB$140</c:f>
              <c:numCache>
                <c:formatCode>0%</c:formatCode>
                <c:ptCount val="15"/>
                <c:pt idx="5">
                  <c:v>0.16353107662353919</c:v>
                </c:pt>
                <c:pt idx="6">
                  <c:v>0.18910904565606285</c:v>
                </c:pt>
                <c:pt idx="7">
                  <c:v>0.2006602057655362</c:v>
                </c:pt>
                <c:pt idx="8">
                  <c:v>0.21693124389449028</c:v>
                </c:pt>
                <c:pt idx="9">
                  <c:v>0.21693124389449028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D0-4085-B82D-66F3F5ECA716}"/>
            </c:ext>
          </c:extLst>
        </c:ser>
        <c:ser>
          <c:idx val="4"/>
          <c:order val="4"/>
          <c:tx>
            <c:strRef>
              <c:f>'Elemzés 2'!$BC$125</c:f>
              <c:strCache>
                <c:ptCount val="1"/>
                <c:pt idx="0">
                  <c:v>Közép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'Elemzés 2'!$AW$126:$AX$140</c:f>
              <c:multiLvlStrCache>
                <c:ptCount val="15"/>
                <c:lvl>
                  <c:pt idx="0">
                    <c:v>2011</c:v>
                  </c:pt>
                  <c:pt idx="1">
                    <c:v>2015</c:v>
                  </c:pt>
                  <c:pt idx="2">
                    <c:v>2020</c:v>
                  </c:pt>
                  <c:pt idx="3">
                    <c:v>2025 bázis</c:v>
                  </c:pt>
                  <c:pt idx="4">
                    <c:v>2025 modellezés</c:v>
                  </c:pt>
                  <c:pt idx="5">
                    <c:v>2011</c:v>
                  </c:pt>
                  <c:pt idx="6">
                    <c:v>2015</c:v>
                  </c:pt>
                  <c:pt idx="7">
                    <c:v>2020</c:v>
                  </c:pt>
                  <c:pt idx="8">
                    <c:v>2025 bázis</c:v>
                  </c:pt>
                  <c:pt idx="9">
                    <c:v>2025 modellezés</c:v>
                  </c:pt>
                  <c:pt idx="10">
                    <c:v>2011</c:v>
                  </c:pt>
                  <c:pt idx="11">
                    <c:v>2015</c:v>
                  </c:pt>
                  <c:pt idx="12">
                    <c:v>2020</c:v>
                  </c:pt>
                  <c:pt idx="13">
                    <c:v>2025 bázis</c:v>
                  </c:pt>
                  <c:pt idx="14">
                    <c:v>2025 modellezés</c:v>
                  </c:pt>
                </c:lvl>
                <c:lvl>
                  <c:pt idx="0">
                    <c:v>Upstream</c:v>
                  </c:pt>
                  <c:pt idx="5">
                    <c:v>Gyártás</c:v>
                  </c:pt>
                  <c:pt idx="10">
                    <c:v>Down-stream</c:v>
                  </c:pt>
                </c:lvl>
              </c:multiLvlStrCache>
            </c:multiLvlStrRef>
          </c:cat>
          <c:val>
            <c:numRef>
              <c:f>'Elemzés 2'!$BC$126:$BC$140</c:f>
              <c:numCache>
                <c:formatCode>0%</c:formatCode>
                <c:ptCount val="15"/>
                <c:pt idx="5">
                  <c:v>0.70788780884878821</c:v>
                </c:pt>
                <c:pt idx="6">
                  <c:v>0.69171098428871436</c:v>
                </c:pt>
                <c:pt idx="7">
                  <c:v>0.68254506929545344</c:v>
                </c:pt>
                <c:pt idx="8">
                  <c:v>0.66903305270274493</c:v>
                </c:pt>
                <c:pt idx="9">
                  <c:v>0.66903305270274493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D0-4085-B82D-66F3F5ECA716}"/>
            </c:ext>
          </c:extLst>
        </c:ser>
        <c:ser>
          <c:idx val="5"/>
          <c:order val="5"/>
          <c:tx>
            <c:strRef>
              <c:f>'Elemzés 2'!$BD$125</c:f>
              <c:strCache>
                <c:ptCount val="1"/>
                <c:pt idx="0">
                  <c:v>Alsó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'Elemzés 2'!$AW$126:$AX$140</c:f>
              <c:multiLvlStrCache>
                <c:ptCount val="15"/>
                <c:lvl>
                  <c:pt idx="0">
                    <c:v>2011</c:v>
                  </c:pt>
                  <c:pt idx="1">
                    <c:v>2015</c:v>
                  </c:pt>
                  <c:pt idx="2">
                    <c:v>2020</c:v>
                  </c:pt>
                  <c:pt idx="3">
                    <c:v>2025 bázis</c:v>
                  </c:pt>
                  <c:pt idx="4">
                    <c:v>2025 modellezés</c:v>
                  </c:pt>
                  <c:pt idx="5">
                    <c:v>2011</c:v>
                  </c:pt>
                  <c:pt idx="6">
                    <c:v>2015</c:v>
                  </c:pt>
                  <c:pt idx="7">
                    <c:v>2020</c:v>
                  </c:pt>
                  <c:pt idx="8">
                    <c:v>2025 bázis</c:v>
                  </c:pt>
                  <c:pt idx="9">
                    <c:v>2025 modellezés</c:v>
                  </c:pt>
                  <c:pt idx="10">
                    <c:v>2011</c:v>
                  </c:pt>
                  <c:pt idx="11">
                    <c:v>2015</c:v>
                  </c:pt>
                  <c:pt idx="12">
                    <c:v>2020</c:v>
                  </c:pt>
                  <c:pt idx="13">
                    <c:v>2025 bázis</c:v>
                  </c:pt>
                  <c:pt idx="14">
                    <c:v>2025 modellezés</c:v>
                  </c:pt>
                </c:lvl>
                <c:lvl>
                  <c:pt idx="0">
                    <c:v>Upstream</c:v>
                  </c:pt>
                  <c:pt idx="5">
                    <c:v>Gyártás</c:v>
                  </c:pt>
                  <c:pt idx="10">
                    <c:v>Down-stream</c:v>
                  </c:pt>
                </c:lvl>
              </c:multiLvlStrCache>
            </c:multiLvlStrRef>
          </c:cat>
          <c:val>
            <c:numRef>
              <c:f>'Elemzés 2'!$BD$126:$BD$140</c:f>
              <c:numCache>
                <c:formatCode>0%</c:formatCode>
                <c:ptCount val="15"/>
                <c:pt idx="5">
                  <c:v>0.12858111452767254</c:v>
                </c:pt>
                <c:pt idx="6">
                  <c:v>0.11917997005522284</c:v>
                </c:pt>
                <c:pt idx="7">
                  <c:v>0.1167947249390103</c:v>
                </c:pt>
                <c:pt idx="8">
                  <c:v>0.11403570340276484</c:v>
                </c:pt>
                <c:pt idx="9">
                  <c:v>0.11403570340276485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4D0-4085-B82D-66F3F5ECA716}"/>
            </c:ext>
          </c:extLst>
        </c:ser>
        <c:ser>
          <c:idx val="6"/>
          <c:order val="6"/>
          <c:tx>
            <c:strRef>
              <c:f>'Elemzés 2'!$BE$125</c:f>
              <c:strCache>
                <c:ptCount val="1"/>
                <c:pt idx="0">
                  <c:v>Felső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'Elemzés 2'!$AW$126:$AX$140</c:f>
              <c:multiLvlStrCache>
                <c:ptCount val="15"/>
                <c:lvl>
                  <c:pt idx="0">
                    <c:v>2011</c:v>
                  </c:pt>
                  <c:pt idx="1">
                    <c:v>2015</c:v>
                  </c:pt>
                  <c:pt idx="2">
                    <c:v>2020</c:v>
                  </c:pt>
                  <c:pt idx="3">
                    <c:v>2025 bázis</c:v>
                  </c:pt>
                  <c:pt idx="4">
                    <c:v>2025 modellezés</c:v>
                  </c:pt>
                  <c:pt idx="5">
                    <c:v>2011</c:v>
                  </c:pt>
                  <c:pt idx="6">
                    <c:v>2015</c:v>
                  </c:pt>
                  <c:pt idx="7">
                    <c:v>2020</c:v>
                  </c:pt>
                  <c:pt idx="8">
                    <c:v>2025 bázis</c:v>
                  </c:pt>
                  <c:pt idx="9">
                    <c:v>2025 modellezés</c:v>
                  </c:pt>
                  <c:pt idx="10">
                    <c:v>2011</c:v>
                  </c:pt>
                  <c:pt idx="11">
                    <c:v>2015</c:v>
                  </c:pt>
                  <c:pt idx="12">
                    <c:v>2020</c:v>
                  </c:pt>
                  <c:pt idx="13">
                    <c:v>2025 bázis</c:v>
                  </c:pt>
                  <c:pt idx="14">
                    <c:v>2025 modellezés</c:v>
                  </c:pt>
                </c:lvl>
                <c:lvl>
                  <c:pt idx="0">
                    <c:v>Upstream</c:v>
                  </c:pt>
                  <c:pt idx="5">
                    <c:v>Gyártás</c:v>
                  </c:pt>
                  <c:pt idx="10">
                    <c:v>Down-stream</c:v>
                  </c:pt>
                </c:lvl>
              </c:multiLvlStrCache>
            </c:multiLvlStrRef>
          </c:cat>
          <c:val>
            <c:numRef>
              <c:f>'Elemzés 2'!$BE$126:$BE$140</c:f>
              <c:numCache>
                <c:formatCode>0%</c:formatCode>
                <c:ptCount val="15"/>
                <c:pt idx="10">
                  <c:v>0.34884451323400817</c:v>
                </c:pt>
                <c:pt idx="11">
                  <c:v>0.37391366337244097</c:v>
                </c:pt>
                <c:pt idx="12">
                  <c:v>0.37601996420052253</c:v>
                </c:pt>
                <c:pt idx="13">
                  <c:v>0.39239890807438149</c:v>
                </c:pt>
                <c:pt idx="14">
                  <c:v>0.39239890807438144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4D0-4085-B82D-66F3F5ECA716}"/>
            </c:ext>
          </c:extLst>
        </c:ser>
        <c:ser>
          <c:idx val="7"/>
          <c:order val="7"/>
          <c:tx>
            <c:strRef>
              <c:f>'Elemzés 2'!$BF$125</c:f>
              <c:strCache>
                <c:ptCount val="1"/>
                <c:pt idx="0">
                  <c:v>Közép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'Elemzés 2'!$AW$126:$AX$140</c:f>
              <c:multiLvlStrCache>
                <c:ptCount val="15"/>
                <c:lvl>
                  <c:pt idx="0">
                    <c:v>2011</c:v>
                  </c:pt>
                  <c:pt idx="1">
                    <c:v>2015</c:v>
                  </c:pt>
                  <c:pt idx="2">
                    <c:v>2020</c:v>
                  </c:pt>
                  <c:pt idx="3">
                    <c:v>2025 bázis</c:v>
                  </c:pt>
                  <c:pt idx="4">
                    <c:v>2025 modellezés</c:v>
                  </c:pt>
                  <c:pt idx="5">
                    <c:v>2011</c:v>
                  </c:pt>
                  <c:pt idx="6">
                    <c:v>2015</c:v>
                  </c:pt>
                  <c:pt idx="7">
                    <c:v>2020</c:v>
                  </c:pt>
                  <c:pt idx="8">
                    <c:v>2025 bázis</c:v>
                  </c:pt>
                  <c:pt idx="9">
                    <c:v>2025 modellezés</c:v>
                  </c:pt>
                  <c:pt idx="10">
                    <c:v>2011</c:v>
                  </c:pt>
                  <c:pt idx="11">
                    <c:v>2015</c:v>
                  </c:pt>
                  <c:pt idx="12">
                    <c:v>2020</c:v>
                  </c:pt>
                  <c:pt idx="13">
                    <c:v>2025 bázis</c:v>
                  </c:pt>
                  <c:pt idx="14">
                    <c:v>2025 modellezés</c:v>
                  </c:pt>
                </c:lvl>
                <c:lvl>
                  <c:pt idx="0">
                    <c:v>Upstream</c:v>
                  </c:pt>
                  <c:pt idx="5">
                    <c:v>Gyártás</c:v>
                  </c:pt>
                  <c:pt idx="10">
                    <c:v>Down-stream</c:v>
                  </c:pt>
                </c:lvl>
              </c:multiLvlStrCache>
            </c:multiLvlStrRef>
          </c:cat>
          <c:val>
            <c:numRef>
              <c:f>'Elemzés 2'!$BF$126:$BF$140</c:f>
              <c:numCache>
                <c:formatCode>0%</c:formatCode>
                <c:ptCount val="15"/>
                <c:pt idx="10">
                  <c:v>0.5763003075002977</c:v>
                </c:pt>
                <c:pt idx="11">
                  <c:v>0.56600225552127459</c:v>
                </c:pt>
                <c:pt idx="12">
                  <c:v>0.56492138059113794</c:v>
                </c:pt>
                <c:pt idx="13">
                  <c:v>0.55490513375198414</c:v>
                </c:pt>
                <c:pt idx="14">
                  <c:v>0.55490513375198414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4D0-4085-B82D-66F3F5ECA716}"/>
            </c:ext>
          </c:extLst>
        </c:ser>
        <c:ser>
          <c:idx val="8"/>
          <c:order val="8"/>
          <c:tx>
            <c:strRef>
              <c:f>'Elemzés 2'!$BG$125</c:f>
              <c:strCache>
                <c:ptCount val="1"/>
                <c:pt idx="0">
                  <c:v>Alsó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'Elemzés 2'!$AW$126:$AX$140</c:f>
              <c:multiLvlStrCache>
                <c:ptCount val="15"/>
                <c:lvl>
                  <c:pt idx="0">
                    <c:v>2011</c:v>
                  </c:pt>
                  <c:pt idx="1">
                    <c:v>2015</c:v>
                  </c:pt>
                  <c:pt idx="2">
                    <c:v>2020</c:v>
                  </c:pt>
                  <c:pt idx="3">
                    <c:v>2025 bázis</c:v>
                  </c:pt>
                  <c:pt idx="4">
                    <c:v>2025 modellezés</c:v>
                  </c:pt>
                  <c:pt idx="5">
                    <c:v>2011</c:v>
                  </c:pt>
                  <c:pt idx="6">
                    <c:v>2015</c:v>
                  </c:pt>
                  <c:pt idx="7">
                    <c:v>2020</c:v>
                  </c:pt>
                  <c:pt idx="8">
                    <c:v>2025 bázis</c:v>
                  </c:pt>
                  <c:pt idx="9">
                    <c:v>2025 modellezés</c:v>
                  </c:pt>
                  <c:pt idx="10">
                    <c:v>2011</c:v>
                  </c:pt>
                  <c:pt idx="11">
                    <c:v>2015</c:v>
                  </c:pt>
                  <c:pt idx="12">
                    <c:v>2020</c:v>
                  </c:pt>
                  <c:pt idx="13">
                    <c:v>2025 bázis</c:v>
                  </c:pt>
                  <c:pt idx="14">
                    <c:v>2025 modellezés</c:v>
                  </c:pt>
                </c:lvl>
                <c:lvl>
                  <c:pt idx="0">
                    <c:v>Upstream</c:v>
                  </c:pt>
                  <c:pt idx="5">
                    <c:v>Gyártás</c:v>
                  </c:pt>
                  <c:pt idx="10">
                    <c:v>Down-stream</c:v>
                  </c:pt>
                </c:lvl>
              </c:multiLvlStrCache>
            </c:multiLvlStrRef>
          </c:cat>
          <c:val>
            <c:numRef>
              <c:f>'Elemzés 2'!$BG$126:$BG$140</c:f>
              <c:numCache>
                <c:formatCode>0%</c:formatCode>
                <c:ptCount val="15"/>
                <c:pt idx="10">
                  <c:v>7.4855179265694224E-2</c:v>
                </c:pt>
                <c:pt idx="11">
                  <c:v>6.0084081106284382E-2</c:v>
                </c:pt>
                <c:pt idx="12">
                  <c:v>5.9058655208339493E-2</c:v>
                </c:pt>
                <c:pt idx="13">
                  <c:v>5.2695958173634379E-2</c:v>
                </c:pt>
                <c:pt idx="14">
                  <c:v>5.2695958173634386E-2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4D0-4085-B82D-66F3F5ECA71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714498304"/>
        <c:axId val="714492480"/>
      </c:barChart>
      <c:catAx>
        <c:axId val="714498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30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714492480"/>
        <c:crosses val="autoZero"/>
        <c:auto val="1"/>
        <c:lblAlgn val="ctr"/>
        <c:lblOffset val="100"/>
        <c:noMultiLvlLbl val="0"/>
      </c:catAx>
      <c:valAx>
        <c:axId val="714492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714498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7"/>
        <c:delete val="1"/>
      </c:legendEntry>
      <c:legendEntry>
        <c:idx val="8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'Elemzés 3'!$S$112</c:f>
          <c:strCache>
            <c:ptCount val="1"/>
            <c:pt idx="0">
              <c:v>Foglalkoztatottak szakma szerint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'Elemzés 3'!$T$125</c:f>
              <c:strCache>
                <c:ptCount val="1"/>
                <c:pt idx="0">
                  <c:v>Vezetők + felsőfokúak + Egyéb felső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'Elemzés 3'!$R$126:$S$140</c:f>
              <c:multiLvlStrCache>
                <c:ptCount val="15"/>
                <c:lvl>
                  <c:pt idx="0">
                    <c:v>2011</c:v>
                  </c:pt>
                  <c:pt idx="1">
                    <c:v>2 015</c:v>
                  </c:pt>
                  <c:pt idx="2">
                    <c:v>2 020</c:v>
                  </c:pt>
                  <c:pt idx="3">
                    <c:v>2025 bázis</c:v>
                  </c:pt>
                  <c:pt idx="4">
                    <c:v>2025 modellezés</c:v>
                  </c:pt>
                  <c:pt idx="5">
                    <c:v>2011</c:v>
                  </c:pt>
                  <c:pt idx="6">
                    <c:v>2015</c:v>
                  </c:pt>
                  <c:pt idx="7">
                    <c:v>2020</c:v>
                  </c:pt>
                  <c:pt idx="8">
                    <c:v>2025 bázis</c:v>
                  </c:pt>
                  <c:pt idx="9">
                    <c:v>2025 modellezés</c:v>
                  </c:pt>
                  <c:pt idx="10">
                    <c:v>2011</c:v>
                  </c:pt>
                  <c:pt idx="11">
                    <c:v>2015</c:v>
                  </c:pt>
                  <c:pt idx="12">
                    <c:v>2020</c:v>
                  </c:pt>
                  <c:pt idx="13">
                    <c:v>2025 bázis</c:v>
                  </c:pt>
                  <c:pt idx="14">
                    <c:v>2025 modellezés</c:v>
                  </c:pt>
                </c:lvl>
                <c:lvl>
                  <c:pt idx="0">
                    <c:v>Upstream</c:v>
                  </c:pt>
                  <c:pt idx="5">
                    <c:v>Gyártás</c:v>
                  </c:pt>
                  <c:pt idx="10">
                    <c:v>Down-stream</c:v>
                  </c:pt>
                </c:lvl>
              </c:multiLvlStrCache>
            </c:multiLvlStrRef>
          </c:cat>
          <c:val>
            <c:numRef>
              <c:f>'Elemzés 3'!$T$126:$T$140</c:f>
              <c:numCache>
                <c:formatCode>#,##0</c:formatCode>
                <c:ptCount val="15"/>
                <c:pt idx="0">
                  <c:v>245.96199999999999</c:v>
                </c:pt>
                <c:pt idx="1">
                  <c:v>270.13400000000001</c:v>
                </c:pt>
                <c:pt idx="2">
                  <c:v>296.96396849243672</c:v>
                </c:pt>
                <c:pt idx="3">
                  <c:v>332.86763903346974</c:v>
                </c:pt>
                <c:pt idx="4">
                  <c:v>399.30615758068956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8C-4668-88F8-0647E1CD4FEC}"/>
            </c:ext>
          </c:extLst>
        </c:ser>
        <c:ser>
          <c:idx val="1"/>
          <c:order val="1"/>
          <c:tx>
            <c:strRef>
              <c:f>'Elemzés 3'!$U$125</c:f>
              <c:strCache>
                <c:ptCount val="1"/>
                <c:pt idx="0">
                  <c:v>Szakmák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'Elemzés 3'!$R$126:$S$140</c:f>
              <c:multiLvlStrCache>
                <c:ptCount val="15"/>
                <c:lvl>
                  <c:pt idx="0">
                    <c:v>2011</c:v>
                  </c:pt>
                  <c:pt idx="1">
                    <c:v>2 015</c:v>
                  </c:pt>
                  <c:pt idx="2">
                    <c:v>2 020</c:v>
                  </c:pt>
                  <c:pt idx="3">
                    <c:v>2025 bázis</c:v>
                  </c:pt>
                  <c:pt idx="4">
                    <c:v>2025 modellezés</c:v>
                  </c:pt>
                  <c:pt idx="5">
                    <c:v>2011</c:v>
                  </c:pt>
                  <c:pt idx="6">
                    <c:v>2015</c:v>
                  </c:pt>
                  <c:pt idx="7">
                    <c:v>2020</c:v>
                  </c:pt>
                  <c:pt idx="8">
                    <c:v>2025 bázis</c:v>
                  </c:pt>
                  <c:pt idx="9">
                    <c:v>2025 modellezés</c:v>
                  </c:pt>
                  <c:pt idx="10">
                    <c:v>2011</c:v>
                  </c:pt>
                  <c:pt idx="11">
                    <c:v>2015</c:v>
                  </c:pt>
                  <c:pt idx="12">
                    <c:v>2020</c:v>
                  </c:pt>
                  <c:pt idx="13">
                    <c:v>2025 bázis</c:v>
                  </c:pt>
                  <c:pt idx="14">
                    <c:v>2025 modellezés</c:v>
                  </c:pt>
                </c:lvl>
                <c:lvl>
                  <c:pt idx="0">
                    <c:v>Upstream</c:v>
                  </c:pt>
                  <c:pt idx="5">
                    <c:v>Gyártás</c:v>
                  </c:pt>
                  <c:pt idx="10">
                    <c:v>Down-stream</c:v>
                  </c:pt>
                </c:lvl>
              </c:multiLvlStrCache>
            </c:multiLvlStrRef>
          </c:cat>
          <c:val>
            <c:numRef>
              <c:f>'Elemzés 3'!$U$126:$U$140</c:f>
              <c:numCache>
                <c:formatCode>#,##0</c:formatCode>
                <c:ptCount val="15"/>
                <c:pt idx="0">
                  <c:v>257.06</c:v>
                </c:pt>
                <c:pt idx="1">
                  <c:v>279.37299999999999</c:v>
                </c:pt>
                <c:pt idx="2">
                  <c:v>322.88782947052732</c:v>
                </c:pt>
                <c:pt idx="3">
                  <c:v>369.31413282962654</c:v>
                </c:pt>
                <c:pt idx="4">
                  <c:v>443.0271676412936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C8C-4668-88F8-0647E1CD4FEC}"/>
            </c:ext>
          </c:extLst>
        </c:ser>
        <c:ser>
          <c:idx val="2"/>
          <c:order val="2"/>
          <c:tx>
            <c:strRef>
              <c:f>'Elemzés 3'!$V$125</c:f>
              <c:strCache>
                <c:ptCount val="1"/>
                <c:pt idx="0">
                  <c:v>Összeszerelők + szakképzetlenek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'Elemzés 3'!$R$126:$S$140</c:f>
              <c:multiLvlStrCache>
                <c:ptCount val="15"/>
                <c:lvl>
                  <c:pt idx="0">
                    <c:v>2011</c:v>
                  </c:pt>
                  <c:pt idx="1">
                    <c:v>2 015</c:v>
                  </c:pt>
                  <c:pt idx="2">
                    <c:v>2 020</c:v>
                  </c:pt>
                  <c:pt idx="3">
                    <c:v>2025 bázis</c:v>
                  </c:pt>
                  <c:pt idx="4">
                    <c:v>2025 modellezés</c:v>
                  </c:pt>
                  <c:pt idx="5">
                    <c:v>2011</c:v>
                  </c:pt>
                  <c:pt idx="6">
                    <c:v>2015</c:v>
                  </c:pt>
                  <c:pt idx="7">
                    <c:v>2020</c:v>
                  </c:pt>
                  <c:pt idx="8">
                    <c:v>2025 bázis</c:v>
                  </c:pt>
                  <c:pt idx="9">
                    <c:v>2025 modellezés</c:v>
                  </c:pt>
                  <c:pt idx="10">
                    <c:v>2011</c:v>
                  </c:pt>
                  <c:pt idx="11">
                    <c:v>2015</c:v>
                  </c:pt>
                  <c:pt idx="12">
                    <c:v>2020</c:v>
                  </c:pt>
                  <c:pt idx="13">
                    <c:v>2025 bázis</c:v>
                  </c:pt>
                  <c:pt idx="14">
                    <c:v>2025 modellezés</c:v>
                  </c:pt>
                </c:lvl>
                <c:lvl>
                  <c:pt idx="0">
                    <c:v>Upstream</c:v>
                  </c:pt>
                  <c:pt idx="5">
                    <c:v>Gyártás</c:v>
                  </c:pt>
                  <c:pt idx="10">
                    <c:v>Down-stream</c:v>
                  </c:pt>
                </c:lvl>
              </c:multiLvlStrCache>
            </c:multiLvlStrRef>
          </c:cat>
          <c:val>
            <c:numRef>
              <c:f>'Elemzés 3'!$V$126:$V$140</c:f>
              <c:numCache>
                <c:formatCode>#,##0</c:formatCode>
                <c:ptCount val="15"/>
                <c:pt idx="0">
                  <c:v>104.262</c:v>
                </c:pt>
                <c:pt idx="1">
                  <c:v>135.43</c:v>
                </c:pt>
                <c:pt idx="2">
                  <c:v>155.4097559276386</c:v>
                </c:pt>
                <c:pt idx="3">
                  <c:v>191.80985077141199</c:v>
                </c:pt>
                <c:pt idx="4">
                  <c:v>230.09402391908941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8C-4668-88F8-0647E1CD4FEC}"/>
            </c:ext>
          </c:extLst>
        </c:ser>
        <c:ser>
          <c:idx val="3"/>
          <c:order val="3"/>
          <c:tx>
            <c:strRef>
              <c:f>'Elemzés 3'!$W$125</c:f>
              <c:strCache>
                <c:ptCount val="1"/>
                <c:pt idx="0">
                  <c:v>Vezetők + felsőfokúak + Egyéb felső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'Elemzés 3'!$R$126:$S$140</c:f>
              <c:multiLvlStrCache>
                <c:ptCount val="15"/>
                <c:lvl>
                  <c:pt idx="0">
                    <c:v>2011</c:v>
                  </c:pt>
                  <c:pt idx="1">
                    <c:v>2 015</c:v>
                  </c:pt>
                  <c:pt idx="2">
                    <c:v>2 020</c:v>
                  </c:pt>
                  <c:pt idx="3">
                    <c:v>2025 bázis</c:v>
                  </c:pt>
                  <c:pt idx="4">
                    <c:v>2025 modellezés</c:v>
                  </c:pt>
                  <c:pt idx="5">
                    <c:v>2011</c:v>
                  </c:pt>
                  <c:pt idx="6">
                    <c:v>2015</c:v>
                  </c:pt>
                  <c:pt idx="7">
                    <c:v>2020</c:v>
                  </c:pt>
                  <c:pt idx="8">
                    <c:v>2025 bázis</c:v>
                  </c:pt>
                  <c:pt idx="9">
                    <c:v>2025 modellezés</c:v>
                  </c:pt>
                  <c:pt idx="10">
                    <c:v>2011</c:v>
                  </c:pt>
                  <c:pt idx="11">
                    <c:v>2015</c:v>
                  </c:pt>
                  <c:pt idx="12">
                    <c:v>2020</c:v>
                  </c:pt>
                  <c:pt idx="13">
                    <c:v>2025 bázis</c:v>
                  </c:pt>
                  <c:pt idx="14">
                    <c:v>2025 modellezés</c:v>
                  </c:pt>
                </c:lvl>
                <c:lvl>
                  <c:pt idx="0">
                    <c:v>Upstream</c:v>
                  </c:pt>
                  <c:pt idx="5">
                    <c:v>Gyártás</c:v>
                  </c:pt>
                  <c:pt idx="10">
                    <c:v>Down-stream</c:v>
                  </c:pt>
                </c:lvl>
              </c:multiLvlStrCache>
            </c:multiLvlStrRef>
          </c:cat>
          <c:val>
            <c:numRef>
              <c:f>'Elemzés 3'!$W$126:$W$140</c:f>
              <c:numCache>
                <c:formatCode>General</c:formatCode>
                <c:ptCount val="15"/>
                <c:pt idx="5" formatCode="#,##0">
                  <c:v>414.69200000000001</c:v>
                </c:pt>
                <c:pt idx="6" formatCode="#,##0">
                  <c:v>467.73200000000003</c:v>
                </c:pt>
                <c:pt idx="7" formatCode="#,##0">
                  <c:v>567.87087150545858</c:v>
                </c:pt>
                <c:pt idx="8" formatCode="#,##0">
                  <c:v>679.89133406139706</c:v>
                </c:pt>
                <c:pt idx="9" formatCode="#,##0">
                  <c:v>641.53872500023976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C8C-4668-88F8-0647E1CD4FEC}"/>
            </c:ext>
          </c:extLst>
        </c:ser>
        <c:ser>
          <c:idx val="4"/>
          <c:order val="4"/>
          <c:tx>
            <c:strRef>
              <c:f>'Elemzés 3'!$X$125</c:f>
              <c:strCache>
                <c:ptCount val="1"/>
                <c:pt idx="0">
                  <c:v>Szakmák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'Elemzés 3'!$R$126:$S$140</c:f>
              <c:multiLvlStrCache>
                <c:ptCount val="15"/>
                <c:lvl>
                  <c:pt idx="0">
                    <c:v>2011</c:v>
                  </c:pt>
                  <c:pt idx="1">
                    <c:v>2 015</c:v>
                  </c:pt>
                  <c:pt idx="2">
                    <c:v>2 020</c:v>
                  </c:pt>
                  <c:pt idx="3">
                    <c:v>2025 bázis</c:v>
                  </c:pt>
                  <c:pt idx="4">
                    <c:v>2025 modellezés</c:v>
                  </c:pt>
                  <c:pt idx="5">
                    <c:v>2011</c:v>
                  </c:pt>
                  <c:pt idx="6">
                    <c:v>2015</c:v>
                  </c:pt>
                  <c:pt idx="7">
                    <c:v>2020</c:v>
                  </c:pt>
                  <c:pt idx="8">
                    <c:v>2025 bázis</c:v>
                  </c:pt>
                  <c:pt idx="9">
                    <c:v>2025 modellezés</c:v>
                  </c:pt>
                  <c:pt idx="10">
                    <c:v>2011</c:v>
                  </c:pt>
                  <c:pt idx="11">
                    <c:v>2015</c:v>
                  </c:pt>
                  <c:pt idx="12">
                    <c:v>2020</c:v>
                  </c:pt>
                  <c:pt idx="13">
                    <c:v>2025 bázis</c:v>
                  </c:pt>
                  <c:pt idx="14">
                    <c:v>2025 modellezés</c:v>
                  </c:pt>
                </c:lvl>
                <c:lvl>
                  <c:pt idx="0">
                    <c:v>Upstream</c:v>
                  </c:pt>
                  <c:pt idx="5">
                    <c:v>Gyártás</c:v>
                  </c:pt>
                  <c:pt idx="10">
                    <c:v>Down-stream</c:v>
                  </c:pt>
                </c:lvl>
              </c:multiLvlStrCache>
            </c:multiLvlStrRef>
          </c:cat>
          <c:val>
            <c:numRef>
              <c:f>'Elemzés 3'!$X$126:$X$140</c:f>
              <c:numCache>
                <c:formatCode>General</c:formatCode>
                <c:ptCount val="15"/>
                <c:pt idx="5" formatCode="#,##0">
                  <c:v>617.92899999999997</c:v>
                </c:pt>
                <c:pt idx="6" formatCode="#,##0">
                  <c:v>626.62300000000005</c:v>
                </c:pt>
                <c:pt idx="7" formatCode="#,##0">
                  <c:v>709.27342706135028</c:v>
                </c:pt>
                <c:pt idx="8" formatCode="#,##0">
                  <c:v>787.40351224537187</c:v>
                </c:pt>
                <c:pt idx="9" formatCode="#,##0">
                  <c:v>742.98615087361793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C8C-4668-88F8-0647E1CD4FEC}"/>
            </c:ext>
          </c:extLst>
        </c:ser>
        <c:ser>
          <c:idx val="5"/>
          <c:order val="5"/>
          <c:tx>
            <c:strRef>
              <c:f>'Elemzés 3'!$Y$125</c:f>
              <c:strCache>
                <c:ptCount val="1"/>
                <c:pt idx="0">
                  <c:v>Összeszerelők + szakképzetlenek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'Elemzés 3'!$R$126:$S$140</c:f>
              <c:multiLvlStrCache>
                <c:ptCount val="15"/>
                <c:lvl>
                  <c:pt idx="0">
                    <c:v>2011</c:v>
                  </c:pt>
                  <c:pt idx="1">
                    <c:v>2 015</c:v>
                  </c:pt>
                  <c:pt idx="2">
                    <c:v>2 020</c:v>
                  </c:pt>
                  <c:pt idx="3">
                    <c:v>2025 bázis</c:v>
                  </c:pt>
                  <c:pt idx="4">
                    <c:v>2025 modellezés</c:v>
                  </c:pt>
                  <c:pt idx="5">
                    <c:v>2011</c:v>
                  </c:pt>
                  <c:pt idx="6">
                    <c:v>2015</c:v>
                  </c:pt>
                  <c:pt idx="7">
                    <c:v>2020</c:v>
                  </c:pt>
                  <c:pt idx="8">
                    <c:v>2025 bázis</c:v>
                  </c:pt>
                  <c:pt idx="9">
                    <c:v>2025 modellezés</c:v>
                  </c:pt>
                  <c:pt idx="10">
                    <c:v>2011</c:v>
                  </c:pt>
                  <c:pt idx="11">
                    <c:v>2015</c:v>
                  </c:pt>
                  <c:pt idx="12">
                    <c:v>2020</c:v>
                  </c:pt>
                  <c:pt idx="13">
                    <c:v>2025 bázis</c:v>
                  </c:pt>
                  <c:pt idx="14">
                    <c:v>2025 modellezés</c:v>
                  </c:pt>
                </c:lvl>
                <c:lvl>
                  <c:pt idx="0">
                    <c:v>Upstream</c:v>
                  </c:pt>
                  <c:pt idx="5">
                    <c:v>Gyártás</c:v>
                  </c:pt>
                  <c:pt idx="10">
                    <c:v>Down-stream</c:v>
                  </c:pt>
                </c:lvl>
              </c:multiLvlStrCache>
            </c:multiLvlStrRef>
          </c:cat>
          <c:val>
            <c:numRef>
              <c:f>'Elemzés 3'!$Y$126:$Y$140</c:f>
              <c:numCache>
                <c:formatCode>General</c:formatCode>
                <c:ptCount val="15"/>
                <c:pt idx="5" formatCode="#,##0">
                  <c:v>541.08600000000001</c:v>
                </c:pt>
                <c:pt idx="6" formatCode="#,##0">
                  <c:v>551.34100000000001</c:v>
                </c:pt>
                <c:pt idx="7" formatCode="#,##0">
                  <c:v>710.95216470863386</c:v>
                </c:pt>
                <c:pt idx="8" formatCode="#,##0">
                  <c:v>865.83721576219682</c:v>
                </c:pt>
                <c:pt idx="9" formatCode="#,##0">
                  <c:v>816.99541622290496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C8C-4668-88F8-0647E1CD4FEC}"/>
            </c:ext>
          </c:extLst>
        </c:ser>
        <c:ser>
          <c:idx val="6"/>
          <c:order val="6"/>
          <c:tx>
            <c:strRef>
              <c:f>'Elemzés 3'!$Z$125</c:f>
              <c:strCache>
                <c:ptCount val="1"/>
                <c:pt idx="0">
                  <c:v>Vezetők + felsőfokúak + Egyéb felső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'Elemzés 3'!$R$126:$S$140</c:f>
              <c:multiLvlStrCache>
                <c:ptCount val="15"/>
                <c:lvl>
                  <c:pt idx="0">
                    <c:v>2011</c:v>
                  </c:pt>
                  <c:pt idx="1">
                    <c:v>2 015</c:v>
                  </c:pt>
                  <c:pt idx="2">
                    <c:v>2 020</c:v>
                  </c:pt>
                  <c:pt idx="3">
                    <c:v>2025 bázis</c:v>
                  </c:pt>
                  <c:pt idx="4">
                    <c:v>2025 modellezés</c:v>
                  </c:pt>
                  <c:pt idx="5">
                    <c:v>2011</c:v>
                  </c:pt>
                  <c:pt idx="6">
                    <c:v>2015</c:v>
                  </c:pt>
                  <c:pt idx="7">
                    <c:v>2020</c:v>
                  </c:pt>
                  <c:pt idx="8">
                    <c:v>2025 bázis</c:v>
                  </c:pt>
                  <c:pt idx="9">
                    <c:v>2025 modellezés</c:v>
                  </c:pt>
                  <c:pt idx="10">
                    <c:v>2011</c:v>
                  </c:pt>
                  <c:pt idx="11">
                    <c:v>2015</c:v>
                  </c:pt>
                  <c:pt idx="12">
                    <c:v>2020</c:v>
                  </c:pt>
                  <c:pt idx="13">
                    <c:v>2025 bázis</c:v>
                  </c:pt>
                  <c:pt idx="14">
                    <c:v>2025 modellezés</c:v>
                  </c:pt>
                </c:lvl>
                <c:lvl>
                  <c:pt idx="0">
                    <c:v>Upstream</c:v>
                  </c:pt>
                  <c:pt idx="5">
                    <c:v>Gyártás</c:v>
                  </c:pt>
                  <c:pt idx="10">
                    <c:v>Down-stream</c:v>
                  </c:pt>
                </c:lvl>
              </c:multiLvlStrCache>
            </c:multiLvlStrRef>
          </c:cat>
          <c:val>
            <c:numRef>
              <c:f>'Elemzés 3'!$Z$126:$Z$140</c:f>
              <c:numCache>
                <c:formatCode>General</c:formatCode>
                <c:ptCount val="15"/>
                <c:pt idx="10" formatCode="#,##0">
                  <c:v>708.09699999999998</c:v>
                </c:pt>
                <c:pt idx="11" formatCode="#,##0">
                  <c:v>778.803</c:v>
                </c:pt>
                <c:pt idx="12" formatCode="#,##0">
                  <c:v>817.64142300929166</c:v>
                </c:pt>
                <c:pt idx="13" formatCode="#,##0">
                  <c:v>876.58915473605998</c:v>
                </c:pt>
                <c:pt idx="14" formatCode="#,##0">
                  <c:v>881.29101268736554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C8C-4668-88F8-0647E1CD4FEC}"/>
            </c:ext>
          </c:extLst>
        </c:ser>
        <c:ser>
          <c:idx val="7"/>
          <c:order val="7"/>
          <c:tx>
            <c:strRef>
              <c:f>'Elemzés 3'!$AA$125</c:f>
              <c:strCache>
                <c:ptCount val="1"/>
                <c:pt idx="0">
                  <c:v>Szakmák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'Elemzés 3'!$R$126:$S$140</c:f>
              <c:multiLvlStrCache>
                <c:ptCount val="15"/>
                <c:lvl>
                  <c:pt idx="0">
                    <c:v>2011</c:v>
                  </c:pt>
                  <c:pt idx="1">
                    <c:v>2 015</c:v>
                  </c:pt>
                  <c:pt idx="2">
                    <c:v>2 020</c:v>
                  </c:pt>
                  <c:pt idx="3">
                    <c:v>2025 bázis</c:v>
                  </c:pt>
                  <c:pt idx="4">
                    <c:v>2025 modellezés</c:v>
                  </c:pt>
                  <c:pt idx="5">
                    <c:v>2011</c:v>
                  </c:pt>
                  <c:pt idx="6">
                    <c:v>2015</c:v>
                  </c:pt>
                  <c:pt idx="7">
                    <c:v>2020</c:v>
                  </c:pt>
                  <c:pt idx="8">
                    <c:v>2025 bázis</c:v>
                  </c:pt>
                  <c:pt idx="9">
                    <c:v>2025 modellezés</c:v>
                  </c:pt>
                  <c:pt idx="10">
                    <c:v>2011</c:v>
                  </c:pt>
                  <c:pt idx="11">
                    <c:v>2015</c:v>
                  </c:pt>
                  <c:pt idx="12">
                    <c:v>2020</c:v>
                  </c:pt>
                  <c:pt idx="13">
                    <c:v>2025 bázis</c:v>
                  </c:pt>
                  <c:pt idx="14">
                    <c:v>2025 modellezés</c:v>
                  </c:pt>
                </c:lvl>
                <c:lvl>
                  <c:pt idx="0">
                    <c:v>Upstream</c:v>
                  </c:pt>
                  <c:pt idx="5">
                    <c:v>Gyártás</c:v>
                  </c:pt>
                  <c:pt idx="10">
                    <c:v>Down-stream</c:v>
                  </c:pt>
                </c:lvl>
              </c:multiLvlStrCache>
            </c:multiLvlStrRef>
          </c:cat>
          <c:val>
            <c:numRef>
              <c:f>'Elemzés 3'!$AA$126:$AA$140</c:f>
              <c:numCache>
                <c:formatCode>General</c:formatCode>
                <c:ptCount val="15"/>
                <c:pt idx="10" formatCode="#,##0">
                  <c:v>583.91700000000003</c:v>
                </c:pt>
                <c:pt idx="11" formatCode="#,##0">
                  <c:v>629.60900000000004</c:v>
                </c:pt>
                <c:pt idx="12" formatCode="#,##0">
                  <c:v>671.82947052951374</c:v>
                </c:pt>
                <c:pt idx="13" formatCode="#,##0">
                  <c:v>724.04795780744826</c:v>
                </c:pt>
                <c:pt idx="14" formatCode="#,##0">
                  <c:v>727.93161371301164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C8C-4668-88F8-0647E1CD4FEC}"/>
            </c:ext>
          </c:extLst>
        </c:ser>
        <c:ser>
          <c:idx val="8"/>
          <c:order val="8"/>
          <c:tx>
            <c:strRef>
              <c:f>'Elemzés 3'!$AB$125</c:f>
              <c:strCache>
                <c:ptCount val="1"/>
                <c:pt idx="0">
                  <c:v>Összeszerelők + szakképzetlenek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'Elemzés 3'!$R$126:$S$140</c:f>
              <c:multiLvlStrCache>
                <c:ptCount val="15"/>
                <c:lvl>
                  <c:pt idx="0">
                    <c:v>2011</c:v>
                  </c:pt>
                  <c:pt idx="1">
                    <c:v>2 015</c:v>
                  </c:pt>
                  <c:pt idx="2">
                    <c:v>2 020</c:v>
                  </c:pt>
                  <c:pt idx="3">
                    <c:v>2025 bázis</c:v>
                  </c:pt>
                  <c:pt idx="4">
                    <c:v>2025 modellezés</c:v>
                  </c:pt>
                  <c:pt idx="5">
                    <c:v>2011</c:v>
                  </c:pt>
                  <c:pt idx="6">
                    <c:v>2015</c:v>
                  </c:pt>
                  <c:pt idx="7">
                    <c:v>2020</c:v>
                  </c:pt>
                  <c:pt idx="8">
                    <c:v>2025 bázis</c:v>
                  </c:pt>
                  <c:pt idx="9">
                    <c:v>2025 modellezés</c:v>
                  </c:pt>
                  <c:pt idx="10">
                    <c:v>2011</c:v>
                  </c:pt>
                  <c:pt idx="11">
                    <c:v>2015</c:v>
                  </c:pt>
                  <c:pt idx="12">
                    <c:v>2020</c:v>
                  </c:pt>
                  <c:pt idx="13">
                    <c:v>2025 bázis</c:v>
                  </c:pt>
                  <c:pt idx="14">
                    <c:v>2025 modellezés</c:v>
                  </c:pt>
                </c:lvl>
                <c:lvl>
                  <c:pt idx="0">
                    <c:v>Upstream</c:v>
                  </c:pt>
                  <c:pt idx="5">
                    <c:v>Gyártás</c:v>
                  </c:pt>
                  <c:pt idx="10">
                    <c:v>Down-stream</c:v>
                  </c:pt>
                </c:lvl>
              </c:multiLvlStrCache>
            </c:multiLvlStrRef>
          </c:cat>
          <c:val>
            <c:numRef>
              <c:f>'Elemzés 3'!$AB$126:$AB$140</c:f>
              <c:numCache>
                <c:formatCode>General</c:formatCode>
                <c:ptCount val="15"/>
                <c:pt idx="10" formatCode="#,##0">
                  <c:v>157.51300000000001</c:v>
                </c:pt>
                <c:pt idx="11" formatCode="#,##0">
                  <c:v>137.46299999999999</c:v>
                </c:pt>
                <c:pt idx="12" formatCode="#,##0">
                  <c:v>153.90953352967858</c:v>
                </c:pt>
                <c:pt idx="13" formatCode="#,##0">
                  <c:v>149.34351078132951</c:v>
                </c:pt>
                <c:pt idx="14" formatCode="#,##0">
                  <c:v>150.14456104512669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C8C-4668-88F8-0647E1CD4FE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746493328"/>
        <c:axId val="746494160"/>
      </c:barChart>
      <c:catAx>
        <c:axId val="746493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30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746494160"/>
        <c:crosses val="autoZero"/>
        <c:auto val="1"/>
        <c:lblAlgn val="ctr"/>
        <c:lblOffset val="100"/>
        <c:noMultiLvlLbl val="0"/>
      </c:catAx>
      <c:valAx>
        <c:axId val="746494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'Elemzés 3'!$W$112</c:f>
              <c:strCache>
                <c:ptCount val="1"/>
                <c:pt idx="0">
                  <c:v>Ezer fő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746493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7"/>
        <c:delete val="1"/>
      </c:legendEntry>
      <c:legendEntry>
        <c:idx val="8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'Elemzés 3'!$AH$112</c:f>
          <c:strCache>
            <c:ptCount val="1"/>
            <c:pt idx="0">
              <c:v>Foglalkoztatottak szakma szerint - 2025 Modellezés mínusz 2025 bázismodell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>
        <c:manualLayout>
          <c:layoutTarget val="inner"/>
          <c:xMode val="edge"/>
          <c:yMode val="edge"/>
          <c:x val="0.11806113087498597"/>
          <c:y val="0.20746107045806553"/>
          <c:w val="0.53476803664420403"/>
          <c:h val="0.7225543251439859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'Elemzés 3'!$AJ$125</c:f>
              <c:strCache>
                <c:ptCount val="1"/>
                <c:pt idx="0">
                  <c:v>Vezetők + felsőfokúak + Egyéb felső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'Elemzés 3'!$AI$126:$AI$129</c:f>
              <c:strCache>
                <c:ptCount val="4"/>
                <c:pt idx="0">
                  <c:v>Upstream</c:v>
                </c:pt>
                <c:pt idx="1">
                  <c:v>Gyártás</c:v>
                </c:pt>
                <c:pt idx="2">
                  <c:v>Down-stream</c:v>
                </c:pt>
                <c:pt idx="3">
                  <c:v>Összesen</c:v>
                </c:pt>
              </c:strCache>
            </c:strRef>
          </c:cat>
          <c:val>
            <c:numRef>
              <c:f>'Elemzés 3'!$AJ$126:$AJ$129</c:f>
              <c:numCache>
                <c:formatCode>#,##0</c:formatCode>
                <c:ptCount val="4"/>
                <c:pt idx="0">
                  <c:v>66.438518547219815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A9-4681-8887-BC19C7D5DB6A}"/>
            </c:ext>
          </c:extLst>
        </c:ser>
        <c:ser>
          <c:idx val="1"/>
          <c:order val="1"/>
          <c:tx>
            <c:strRef>
              <c:f>'Elemzés 3'!$AK$125</c:f>
              <c:strCache>
                <c:ptCount val="1"/>
                <c:pt idx="0">
                  <c:v>Szakmák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'Elemzés 3'!$AI$126:$AI$129</c:f>
              <c:strCache>
                <c:ptCount val="4"/>
                <c:pt idx="0">
                  <c:v>Upstream</c:v>
                </c:pt>
                <c:pt idx="1">
                  <c:v>Gyártás</c:v>
                </c:pt>
                <c:pt idx="2">
                  <c:v>Down-stream</c:v>
                </c:pt>
                <c:pt idx="3">
                  <c:v>Összesen</c:v>
                </c:pt>
              </c:strCache>
            </c:strRef>
          </c:cat>
          <c:val>
            <c:numRef>
              <c:f>'Elemzés 3'!$AK$126:$AK$129</c:f>
              <c:numCache>
                <c:formatCode>#,##0</c:formatCode>
                <c:ptCount val="4"/>
                <c:pt idx="0">
                  <c:v>73.713034811667058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9A9-4681-8887-BC19C7D5DB6A}"/>
            </c:ext>
          </c:extLst>
        </c:ser>
        <c:ser>
          <c:idx val="2"/>
          <c:order val="2"/>
          <c:tx>
            <c:strRef>
              <c:f>'Elemzés 3'!$AL$125</c:f>
              <c:strCache>
                <c:ptCount val="1"/>
                <c:pt idx="0">
                  <c:v>Összeszerelők + szakképzetlenek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'Elemzés 3'!$AI$126:$AI$129</c:f>
              <c:strCache>
                <c:ptCount val="4"/>
                <c:pt idx="0">
                  <c:v>Upstream</c:v>
                </c:pt>
                <c:pt idx="1">
                  <c:v>Gyártás</c:v>
                </c:pt>
                <c:pt idx="2">
                  <c:v>Down-stream</c:v>
                </c:pt>
                <c:pt idx="3">
                  <c:v>Összesen</c:v>
                </c:pt>
              </c:strCache>
            </c:strRef>
          </c:cat>
          <c:val>
            <c:numRef>
              <c:f>'Elemzés 3'!$AL$126:$AL$129</c:f>
              <c:numCache>
                <c:formatCode>#,##0</c:formatCode>
                <c:ptCount val="4"/>
                <c:pt idx="0">
                  <c:v>38.284173147677421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A9-4681-8887-BC19C7D5DB6A}"/>
            </c:ext>
          </c:extLst>
        </c:ser>
        <c:ser>
          <c:idx val="3"/>
          <c:order val="3"/>
          <c:tx>
            <c:strRef>
              <c:f>'Elemzés 3'!$AM$125</c:f>
              <c:strCache>
                <c:ptCount val="1"/>
                <c:pt idx="0">
                  <c:v>Vezetők + felsőfokúak + Egyéb felső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'Elemzés 3'!$AI$126:$AI$129</c:f>
              <c:strCache>
                <c:ptCount val="4"/>
                <c:pt idx="0">
                  <c:v>Upstream</c:v>
                </c:pt>
                <c:pt idx="1">
                  <c:v>Gyártás</c:v>
                </c:pt>
                <c:pt idx="2">
                  <c:v>Down-stream</c:v>
                </c:pt>
                <c:pt idx="3">
                  <c:v>Összesen</c:v>
                </c:pt>
              </c:strCache>
            </c:strRef>
          </c:cat>
          <c:val>
            <c:numRef>
              <c:f>'Elemzés 3'!$AM$126:$AM$129</c:f>
              <c:numCache>
                <c:formatCode>#,##0</c:formatCode>
                <c:ptCount val="4"/>
                <c:pt idx="1">
                  <c:v>-38.352609061157295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9A9-4681-8887-BC19C7D5DB6A}"/>
            </c:ext>
          </c:extLst>
        </c:ser>
        <c:ser>
          <c:idx val="4"/>
          <c:order val="4"/>
          <c:tx>
            <c:strRef>
              <c:f>'Elemzés 3'!$AN$125</c:f>
              <c:strCache>
                <c:ptCount val="1"/>
                <c:pt idx="0">
                  <c:v>Szakmák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'Elemzés 3'!$AI$126:$AI$129</c:f>
              <c:strCache>
                <c:ptCount val="4"/>
                <c:pt idx="0">
                  <c:v>Upstream</c:v>
                </c:pt>
                <c:pt idx="1">
                  <c:v>Gyártás</c:v>
                </c:pt>
                <c:pt idx="2">
                  <c:v>Down-stream</c:v>
                </c:pt>
                <c:pt idx="3">
                  <c:v>Összesen</c:v>
                </c:pt>
              </c:strCache>
            </c:strRef>
          </c:cat>
          <c:val>
            <c:numRef>
              <c:f>'Elemzés 3'!$AN$126:$AN$129</c:f>
              <c:numCache>
                <c:formatCode>#,##0</c:formatCode>
                <c:ptCount val="4"/>
                <c:pt idx="1">
                  <c:v>-44.417361371753941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9A9-4681-8887-BC19C7D5DB6A}"/>
            </c:ext>
          </c:extLst>
        </c:ser>
        <c:ser>
          <c:idx val="5"/>
          <c:order val="5"/>
          <c:tx>
            <c:strRef>
              <c:f>'Elemzés 3'!$AO$125</c:f>
              <c:strCache>
                <c:ptCount val="1"/>
                <c:pt idx="0">
                  <c:v>Összeszerelők + szakképzetlenek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'Elemzés 3'!$AI$126:$AI$129</c:f>
              <c:strCache>
                <c:ptCount val="4"/>
                <c:pt idx="0">
                  <c:v>Upstream</c:v>
                </c:pt>
                <c:pt idx="1">
                  <c:v>Gyártás</c:v>
                </c:pt>
                <c:pt idx="2">
                  <c:v>Down-stream</c:v>
                </c:pt>
                <c:pt idx="3">
                  <c:v>Összesen</c:v>
                </c:pt>
              </c:strCache>
            </c:strRef>
          </c:cat>
          <c:val>
            <c:numRef>
              <c:f>'Elemzés 3'!$AO$126:$AO$129</c:f>
              <c:numCache>
                <c:formatCode>#,##0</c:formatCode>
                <c:ptCount val="4"/>
                <c:pt idx="1">
                  <c:v>-48.841799539291856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9A9-4681-8887-BC19C7D5DB6A}"/>
            </c:ext>
          </c:extLst>
        </c:ser>
        <c:ser>
          <c:idx val="6"/>
          <c:order val="6"/>
          <c:tx>
            <c:strRef>
              <c:f>'Elemzés 3'!$AP$125</c:f>
              <c:strCache>
                <c:ptCount val="1"/>
                <c:pt idx="0">
                  <c:v>Vezetők + felsőfokúak + Egyéb felső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'Elemzés 3'!$AI$126:$AI$129</c:f>
              <c:strCache>
                <c:ptCount val="4"/>
                <c:pt idx="0">
                  <c:v>Upstream</c:v>
                </c:pt>
                <c:pt idx="1">
                  <c:v>Gyártás</c:v>
                </c:pt>
                <c:pt idx="2">
                  <c:v>Down-stream</c:v>
                </c:pt>
                <c:pt idx="3">
                  <c:v>Összesen</c:v>
                </c:pt>
              </c:strCache>
            </c:strRef>
          </c:cat>
          <c:val>
            <c:numRef>
              <c:f>'Elemzés 3'!$AP$126:$AP$129</c:f>
              <c:numCache>
                <c:formatCode>General</c:formatCode>
                <c:ptCount val="4"/>
                <c:pt idx="2" formatCode="#,##0">
                  <c:v>4.7018579513055556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9A9-4681-8887-BC19C7D5DB6A}"/>
            </c:ext>
          </c:extLst>
        </c:ser>
        <c:ser>
          <c:idx val="7"/>
          <c:order val="7"/>
          <c:tx>
            <c:strRef>
              <c:f>'Elemzés 3'!$AQ$125</c:f>
              <c:strCache>
                <c:ptCount val="1"/>
                <c:pt idx="0">
                  <c:v>Szakmák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'Elemzés 3'!$AI$126:$AI$129</c:f>
              <c:strCache>
                <c:ptCount val="4"/>
                <c:pt idx="0">
                  <c:v>Upstream</c:v>
                </c:pt>
                <c:pt idx="1">
                  <c:v>Gyártás</c:v>
                </c:pt>
                <c:pt idx="2">
                  <c:v>Down-stream</c:v>
                </c:pt>
                <c:pt idx="3">
                  <c:v>Összesen</c:v>
                </c:pt>
              </c:strCache>
            </c:strRef>
          </c:cat>
          <c:val>
            <c:numRef>
              <c:f>'Elemzés 3'!$AQ$126:$AQ$129</c:f>
              <c:numCache>
                <c:formatCode>General</c:formatCode>
                <c:ptCount val="4"/>
                <c:pt idx="2" formatCode="#,##0">
                  <c:v>3.883655905563387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9A9-4681-8887-BC19C7D5DB6A}"/>
            </c:ext>
          </c:extLst>
        </c:ser>
        <c:ser>
          <c:idx val="8"/>
          <c:order val="8"/>
          <c:tx>
            <c:strRef>
              <c:f>'Elemzés 3'!$AR$125</c:f>
              <c:strCache>
                <c:ptCount val="1"/>
                <c:pt idx="0">
                  <c:v>Összeszerelők + szakképzetlenek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'Elemzés 3'!$AI$126:$AI$129</c:f>
              <c:strCache>
                <c:ptCount val="4"/>
                <c:pt idx="0">
                  <c:v>Upstream</c:v>
                </c:pt>
                <c:pt idx="1">
                  <c:v>Gyártás</c:v>
                </c:pt>
                <c:pt idx="2">
                  <c:v>Down-stream</c:v>
                </c:pt>
                <c:pt idx="3">
                  <c:v>Összesen</c:v>
                </c:pt>
              </c:strCache>
            </c:strRef>
          </c:cat>
          <c:val>
            <c:numRef>
              <c:f>'Elemzés 3'!$AR$126:$AR$129</c:f>
              <c:numCache>
                <c:formatCode>General</c:formatCode>
                <c:ptCount val="4"/>
                <c:pt idx="2" formatCode="#,##0">
                  <c:v>0.8010502637971797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9A9-4681-8887-BC19C7D5DB6A}"/>
            </c:ext>
          </c:extLst>
        </c:ser>
        <c:ser>
          <c:idx val="9"/>
          <c:order val="9"/>
          <c:tx>
            <c:strRef>
              <c:f>'Elemzés 3'!$AS$125</c:f>
              <c:strCache>
                <c:ptCount val="1"/>
                <c:pt idx="0">
                  <c:v>Vezetők + felsőfokúak + Egyéb felső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'Elemzés 3'!$AI$126:$AI$129</c:f>
              <c:strCache>
                <c:ptCount val="4"/>
                <c:pt idx="0">
                  <c:v>Upstream</c:v>
                </c:pt>
                <c:pt idx="1">
                  <c:v>Gyártás</c:v>
                </c:pt>
                <c:pt idx="2">
                  <c:v>Down-stream</c:v>
                </c:pt>
                <c:pt idx="3">
                  <c:v>Összesen</c:v>
                </c:pt>
              </c:strCache>
            </c:strRef>
          </c:cat>
          <c:val>
            <c:numRef>
              <c:f>'Elemzés 3'!$AS$126:$AS$129</c:f>
              <c:numCache>
                <c:formatCode>General</c:formatCode>
                <c:ptCount val="4"/>
                <c:pt idx="3" formatCode="#,##0">
                  <c:v>32.787767437368075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9A9-4681-8887-BC19C7D5DB6A}"/>
            </c:ext>
          </c:extLst>
        </c:ser>
        <c:ser>
          <c:idx val="10"/>
          <c:order val="10"/>
          <c:tx>
            <c:strRef>
              <c:f>'Elemzés 3'!$AT$125</c:f>
              <c:strCache>
                <c:ptCount val="1"/>
                <c:pt idx="0">
                  <c:v>Szakmák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'Elemzés 3'!$AI$126:$AI$129</c:f>
              <c:strCache>
                <c:ptCount val="4"/>
                <c:pt idx="0">
                  <c:v>Upstream</c:v>
                </c:pt>
                <c:pt idx="1">
                  <c:v>Gyártás</c:v>
                </c:pt>
                <c:pt idx="2">
                  <c:v>Down-stream</c:v>
                </c:pt>
                <c:pt idx="3">
                  <c:v>Összesen</c:v>
                </c:pt>
              </c:strCache>
            </c:strRef>
          </c:cat>
          <c:val>
            <c:numRef>
              <c:f>'Elemzés 3'!$AT$126:$AT$129</c:f>
              <c:numCache>
                <c:formatCode>General</c:formatCode>
                <c:ptCount val="4"/>
                <c:pt idx="3" formatCode="#,##0">
                  <c:v>33.179329345476503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9A9-4681-8887-BC19C7D5DB6A}"/>
            </c:ext>
          </c:extLst>
        </c:ser>
        <c:ser>
          <c:idx val="11"/>
          <c:order val="11"/>
          <c:tx>
            <c:strRef>
              <c:f>'Elemzés 3'!$AU$125</c:f>
              <c:strCache>
                <c:ptCount val="1"/>
                <c:pt idx="0">
                  <c:v>Összeszerelők + szakképzetlenek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'Elemzés 3'!$AI$126:$AI$129</c:f>
              <c:strCache>
                <c:ptCount val="4"/>
                <c:pt idx="0">
                  <c:v>Upstream</c:v>
                </c:pt>
                <c:pt idx="1">
                  <c:v>Gyártás</c:v>
                </c:pt>
                <c:pt idx="2">
                  <c:v>Down-stream</c:v>
                </c:pt>
                <c:pt idx="3">
                  <c:v>Összesen</c:v>
                </c:pt>
              </c:strCache>
            </c:strRef>
          </c:cat>
          <c:val>
            <c:numRef>
              <c:f>'Elemzés 3'!$AU$126:$AU$129</c:f>
              <c:numCache>
                <c:formatCode>General</c:formatCode>
                <c:ptCount val="4"/>
                <c:pt idx="3" formatCode="#,##0">
                  <c:v>-9.7565761278172545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9A9-4681-8887-BC19C7D5DB6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646867952"/>
        <c:axId val="646867536"/>
      </c:barChart>
      <c:catAx>
        <c:axId val="646867952"/>
        <c:scaling>
          <c:orientation val="minMax"/>
        </c:scaling>
        <c:delete val="0"/>
        <c:axPos val="b"/>
        <c:title>
          <c:tx>
            <c:strRef>
              <c:f>'Elemzés 3'!$AL$122</c:f>
              <c:strCache>
                <c:ptCount val="1"/>
                <c:pt idx="0">
                  <c:v>A modellezési variáns tartalma: GDP növekedési ütem ( 2025/20) = 3,4%; Upstr._HÉ_% = +0,05%;  Gyárt._HÉ_% =-0,05%; Downstr._HÉ_% = +0%</c:v>
                </c:pt>
              </c:strCache>
            </c:strRef>
          </c:tx>
          <c:layout>
            <c:manualLayout>
              <c:xMode val="edge"/>
              <c:yMode val="edge"/>
              <c:x val="0.11430008382229674"/>
              <c:y val="7.878096510021052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646867536"/>
        <c:crosses val="autoZero"/>
        <c:auto val="1"/>
        <c:lblAlgn val="ctr"/>
        <c:lblOffset val="100"/>
        <c:noMultiLvlLbl val="0"/>
      </c:catAx>
      <c:valAx>
        <c:axId val="646867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'Elemzés 3'!$AQ$112</c:f>
              <c:strCache>
                <c:ptCount val="1"/>
                <c:pt idx="0">
                  <c:v>Ezer fő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646867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7"/>
        <c:delete val="1"/>
      </c:legendEntry>
      <c:legendEntry>
        <c:idx val="8"/>
        <c:delete val="1"/>
      </c:legendEntry>
      <c:legendEntry>
        <c:idx val="9"/>
        <c:delete val="1"/>
      </c:legendEntry>
      <c:legendEntry>
        <c:idx val="10"/>
        <c:delete val="1"/>
      </c:legendEntry>
      <c:legendEntry>
        <c:idx val="1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'Elemzés 3'!$AX$112</c:f>
          <c:strCache>
            <c:ptCount val="1"/>
            <c:pt idx="0">
              <c:v>Foglalkoztatottak szakma szerint - 2025 Modellezés mínusz 2025 bázismodell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'Elemzés 3'!$AY$125</c:f>
              <c:strCache>
                <c:ptCount val="1"/>
                <c:pt idx="0">
                  <c:v>Vezetők + felsőfokúak + Egyéb felső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'Elemzés 3'!$AW$126:$AX$140</c:f>
              <c:multiLvlStrCache>
                <c:ptCount val="15"/>
                <c:lvl>
                  <c:pt idx="0">
                    <c:v>2011</c:v>
                  </c:pt>
                  <c:pt idx="1">
                    <c:v>2015</c:v>
                  </c:pt>
                  <c:pt idx="2">
                    <c:v>2020</c:v>
                  </c:pt>
                  <c:pt idx="3">
                    <c:v>2025 bázis</c:v>
                  </c:pt>
                  <c:pt idx="4">
                    <c:v>2025 modellezés</c:v>
                  </c:pt>
                  <c:pt idx="5">
                    <c:v>2011</c:v>
                  </c:pt>
                  <c:pt idx="6">
                    <c:v>2015</c:v>
                  </c:pt>
                  <c:pt idx="7">
                    <c:v>2020</c:v>
                  </c:pt>
                  <c:pt idx="8">
                    <c:v>2025 bázis</c:v>
                  </c:pt>
                  <c:pt idx="9">
                    <c:v>2025 modellezés</c:v>
                  </c:pt>
                  <c:pt idx="10">
                    <c:v>2011</c:v>
                  </c:pt>
                  <c:pt idx="11">
                    <c:v>2015</c:v>
                  </c:pt>
                  <c:pt idx="12">
                    <c:v>2020</c:v>
                  </c:pt>
                  <c:pt idx="13">
                    <c:v>2025 bázis</c:v>
                  </c:pt>
                  <c:pt idx="14">
                    <c:v>2025 modellezés</c:v>
                  </c:pt>
                </c:lvl>
                <c:lvl>
                  <c:pt idx="0">
                    <c:v>Upstream</c:v>
                  </c:pt>
                  <c:pt idx="5">
                    <c:v>Gyártás</c:v>
                  </c:pt>
                  <c:pt idx="10">
                    <c:v>Down-stream</c:v>
                  </c:pt>
                </c:lvl>
              </c:multiLvlStrCache>
            </c:multiLvlStrRef>
          </c:cat>
          <c:val>
            <c:numRef>
              <c:f>'Elemzés 3'!$AY$126:$AY$140</c:f>
              <c:numCache>
                <c:formatCode>0%</c:formatCode>
                <c:ptCount val="15"/>
                <c:pt idx="0">
                  <c:v>0.40501972717871704</c:v>
                </c:pt>
                <c:pt idx="1">
                  <c:v>0.39439247697233465</c:v>
                </c:pt>
                <c:pt idx="2">
                  <c:v>0.38305003905087415</c:v>
                </c:pt>
                <c:pt idx="3">
                  <c:v>0.37233865576115854</c:v>
                </c:pt>
                <c:pt idx="4">
                  <c:v>0.37233865576115849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A-494C-BB9E-67CF6B43ABBB}"/>
            </c:ext>
          </c:extLst>
        </c:ser>
        <c:ser>
          <c:idx val="1"/>
          <c:order val="1"/>
          <c:tx>
            <c:strRef>
              <c:f>'Elemzés 3'!$AZ$125</c:f>
              <c:strCache>
                <c:ptCount val="1"/>
                <c:pt idx="0">
                  <c:v>Szakmák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'Elemzés 3'!$AW$126:$AX$140</c:f>
              <c:multiLvlStrCache>
                <c:ptCount val="15"/>
                <c:lvl>
                  <c:pt idx="0">
                    <c:v>2011</c:v>
                  </c:pt>
                  <c:pt idx="1">
                    <c:v>2015</c:v>
                  </c:pt>
                  <c:pt idx="2">
                    <c:v>2020</c:v>
                  </c:pt>
                  <c:pt idx="3">
                    <c:v>2025 bázis</c:v>
                  </c:pt>
                  <c:pt idx="4">
                    <c:v>2025 modellezés</c:v>
                  </c:pt>
                  <c:pt idx="5">
                    <c:v>2011</c:v>
                  </c:pt>
                  <c:pt idx="6">
                    <c:v>2015</c:v>
                  </c:pt>
                  <c:pt idx="7">
                    <c:v>2020</c:v>
                  </c:pt>
                  <c:pt idx="8">
                    <c:v>2025 bázis</c:v>
                  </c:pt>
                  <c:pt idx="9">
                    <c:v>2025 modellezés</c:v>
                  </c:pt>
                  <c:pt idx="10">
                    <c:v>2011</c:v>
                  </c:pt>
                  <c:pt idx="11">
                    <c:v>2015</c:v>
                  </c:pt>
                  <c:pt idx="12">
                    <c:v>2020</c:v>
                  </c:pt>
                  <c:pt idx="13">
                    <c:v>2025 bázis</c:v>
                  </c:pt>
                  <c:pt idx="14">
                    <c:v>2025 modellezés</c:v>
                  </c:pt>
                </c:lvl>
                <c:lvl>
                  <c:pt idx="0">
                    <c:v>Upstream</c:v>
                  </c:pt>
                  <c:pt idx="5">
                    <c:v>Gyártás</c:v>
                  </c:pt>
                  <c:pt idx="10">
                    <c:v>Down-stream</c:v>
                  </c:pt>
                </c:lvl>
              </c:multiLvlStrCache>
            </c:multiLvlStrRef>
          </c:cat>
          <c:val>
            <c:numRef>
              <c:f>'Elemzés 3'!$AZ$126:$AZ$140</c:f>
              <c:numCache>
                <c:formatCode>0%</c:formatCode>
                <c:ptCount val="15"/>
                <c:pt idx="0">
                  <c:v>0.4232945376463072</c:v>
                </c:pt>
                <c:pt idx="1">
                  <c:v>0.40788130879190337</c:v>
                </c:pt>
                <c:pt idx="2">
                  <c:v>0.41648889700531971</c:v>
                </c:pt>
                <c:pt idx="3">
                  <c:v>0.41310692793886916</c:v>
                </c:pt>
                <c:pt idx="4">
                  <c:v>0.41310692793886916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A-494C-BB9E-67CF6B43ABBB}"/>
            </c:ext>
          </c:extLst>
        </c:ser>
        <c:ser>
          <c:idx val="2"/>
          <c:order val="2"/>
          <c:tx>
            <c:strRef>
              <c:f>'Elemzés 3'!$BA$125</c:f>
              <c:strCache>
                <c:ptCount val="1"/>
                <c:pt idx="0">
                  <c:v>Összeszerelők + szakképzetlenek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'Elemzés 3'!$AW$126:$AX$140</c:f>
              <c:multiLvlStrCache>
                <c:ptCount val="15"/>
                <c:lvl>
                  <c:pt idx="0">
                    <c:v>2011</c:v>
                  </c:pt>
                  <c:pt idx="1">
                    <c:v>2015</c:v>
                  </c:pt>
                  <c:pt idx="2">
                    <c:v>2020</c:v>
                  </c:pt>
                  <c:pt idx="3">
                    <c:v>2025 bázis</c:v>
                  </c:pt>
                  <c:pt idx="4">
                    <c:v>2025 modellezés</c:v>
                  </c:pt>
                  <c:pt idx="5">
                    <c:v>2011</c:v>
                  </c:pt>
                  <c:pt idx="6">
                    <c:v>2015</c:v>
                  </c:pt>
                  <c:pt idx="7">
                    <c:v>2020</c:v>
                  </c:pt>
                  <c:pt idx="8">
                    <c:v>2025 bázis</c:v>
                  </c:pt>
                  <c:pt idx="9">
                    <c:v>2025 modellezés</c:v>
                  </c:pt>
                  <c:pt idx="10">
                    <c:v>2011</c:v>
                  </c:pt>
                  <c:pt idx="11">
                    <c:v>2015</c:v>
                  </c:pt>
                  <c:pt idx="12">
                    <c:v>2020</c:v>
                  </c:pt>
                  <c:pt idx="13">
                    <c:v>2025 bázis</c:v>
                  </c:pt>
                  <c:pt idx="14">
                    <c:v>2025 modellezés</c:v>
                  </c:pt>
                </c:lvl>
                <c:lvl>
                  <c:pt idx="0">
                    <c:v>Upstream</c:v>
                  </c:pt>
                  <c:pt idx="5">
                    <c:v>Gyártás</c:v>
                  </c:pt>
                  <c:pt idx="10">
                    <c:v>Down-stream</c:v>
                  </c:pt>
                </c:lvl>
              </c:multiLvlStrCache>
            </c:multiLvlStrRef>
          </c:cat>
          <c:val>
            <c:numRef>
              <c:f>'Elemzés 3'!$BA$126:$BA$140</c:f>
              <c:numCache>
                <c:formatCode>0%</c:formatCode>
                <c:ptCount val="15"/>
                <c:pt idx="0">
                  <c:v>0.17168573517497579</c:v>
                </c:pt>
                <c:pt idx="1">
                  <c:v>0.19772621423576181</c:v>
                </c:pt>
                <c:pt idx="2">
                  <c:v>0.20046106394380614</c:v>
                </c:pt>
                <c:pt idx="3">
                  <c:v>0.21455441629997224</c:v>
                </c:pt>
                <c:pt idx="4">
                  <c:v>0.21455441629997227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D4A-494C-BB9E-67CF6B43ABBB}"/>
            </c:ext>
          </c:extLst>
        </c:ser>
        <c:ser>
          <c:idx val="3"/>
          <c:order val="3"/>
          <c:tx>
            <c:strRef>
              <c:f>'Elemzés 3'!$BB$125</c:f>
              <c:strCache>
                <c:ptCount val="1"/>
                <c:pt idx="0">
                  <c:v>Vezetők + felsőfokúak + Egyéb felső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'Elemzés 3'!$AW$126:$AX$140</c:f>
              <c:multiLvlStrCache>
                <c:ptCount val="15"/>
                <c:lvl>
                  <c:pt idx="0">
                    <c:v>2011</c:v>
                  </c:pt>
                  <c:pt idx="1">
                    <c:v>2015</c:v>
                  </c:pt>
                  <c:pt idx="2">
                    <c:v>2020</c:v>
                  </c:pt>
                  <c:pt idx="3">
                    <c:v>2025 bázis</c:v>
                  </c:pt>
                  <c:pt idx="4">
                    <c:v>2025 modellezés</c:v>
                  </c:pt>
                  <c:pt idx="5">
                    <c:v>2011</c:v>
                  </c:pt>
                  <c:pt idx="6">
                    <c:v>2015</c:v>
                  </c:pt>
                  <c:pt idx="7">
                    <c:v>2020</c:v>
                  </c:pt>
                  <c:pt idx="8">
                    <c:v>2025 bázis</c:v>
                  </c:pt>
                  <c:pt idx="9">
                    <c:v>2025 modellezés</c:v>
                  </c:pt>
                  <c:pt idx="10">
                    <c:v>2011</c:v>
                  </c:pt>
                  <c:pt idx="11">
                    <c:v>2015</c:v>
                  </c:pt>
                  <c:pt idx="12">
                    <c:v>2020</c:v>
                  </c:pt>
                  <c:pt idx="13">
                    <c:v>2025 bázis</c:v>
                  </c:pt>
                  <c:pt idx="14">
                    <c:v>2025 modellezés</c:v>
                  </c:pt>
                </c:lvl>
                <c:lvl>
                  <c:pt idx="0">
                    <c:v>Upstream</c:v>
                  </c:pt>
                  <c:pt idx="5">
                    <c:v>Gyártás</c:v>
                  </c:pt>
                  <c:pt idx="10">
                    <c:v>Down-stream</c:v>
                  </c:pt>
                </c:lvl>
              </c:multiLvlStrCache>
            </c:multiLvlStrRef>
          </c:cat>
          <c:val>
            <c:numRef>
              <c:f>'Elemzés 3'!$BB$126:$BB$140</c:f>
              <c:numCache>
                <c:formatCode>0%</c:formatCode>
                <c:ptCount val="15"/>
                <c:pt idx="5">
                  <c:v>0.26351283942944903</c:v>
                </c:pt>
                <c:pt idx="6">
                  <c:v>0.28421531072567474</c:v>
                </c:pt>
                <c:pt idx="7">
                  <c:v>0.28563547191763322</c:v>
                </c:pt>
                <c:pt idx="8">
                  <c:v>0.29140713683325997</c:v>
                </c:pt>
                <c:pt idx="9">
                  <c:v>0.29140713683325997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D4A-494C-BB9E-67CF6B43ABBB}"/>
            </c:ext>
          </c:extLst>
        </c:ser>
        <c:ser>
          <c:idx val="4"/>
          <c:order val="4"/>
          <c:tx>
            <c:strRef>
              <c:f>'Elemzés 3'!$BC$125</c:f>
              <c:strCache>
                <c:ptCount val="1"/>
                <c:pt idx="0">
                  <c:v>Szakmák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'Elemzés 3'!$AW$126:$AX$140</c:f>
              <c:multiLvlStrCache>
                <c:ptCount val="15"/>
                <c:lvl>
                  <c:pt idx="0">
                    <c:v>2011</c:v>
                  </c:pt>
                  <c:pt idx="1">
                    <c:v>2015</c:v>
                  </c:pt>
                  <c:pt idx="2">
                    <c:v>2020</c:v>
                  </c:pt>
                  <c:pt idx="3">
                    <c:v>2025 bázis</c:v>
                  </c:pt>
                  <c:pt idx="4">
                    <c:v>2025 modellezés</c:v>
                  </c:pt>
                  <c:pt idx="5">
                    <c:v>2011</c:v>
                  </c:pt>
                  <c:pt idx="6">
                    <c:v>2015</c:v>
                  </c:pt>
                  <c:pt idx="7">
                    <c:v>2020</c:v>
                  </c:pt>
                  <c:pt idx="8">
                    <c:v>2025 bázis</c:v>
                  </c:pt>
                  <c:pt idx="9">
                    <c:v>2025 modellezés</c:v>
                  </c:pt>
                  <c:pt idx="10">
                    <c:v>2011</c:v>
                  </c:pt>
                  <c:pt idx="11">
                    <c:v>2015</c:v>
                  </c:pt>
                  <c:pt idx="12">
                    <c:v>2020</c:v>
                  </c:pt>
                  <c:pt idx="13">
                    <c:v>2025 bázis</c:v>
                  </c:pt>
                  <c:pt idx="14">
                    <c:v>2025 modellezés</c:v>
                  </c:pt>
                </c:lvl>
                <c:lvl>
                  <c:pt idx="0">
                    <c:v>Upstream</c:v>
                  </c:pt>
                  <c:pt idx="5">
                    <c:v>Gyártás</c:v>
                  </c:pt>
                  <c:pt idx="10">
                    <c:v>Down-stream</c:v>
                  </c:pt>
                </c:lvl>
              </c:multiLvlStrCache>
            </c:multiLvlStrRef>
          </c:cat>
          <c:val>
            <c:numRef>
              <c:f>'Elemzés 3'!$BC$126:$BC$140</c:f>
              <c:numCache>
                <c:formatCode>0%</c:formatCode>
                <c:ptCount val="15"/>
                <c:pt idx="5">
                  <c:v>0.39265822672200096</c:v>
                </c:pt>
                <c:pt idx="6">
                  <c:v>0.38076473419149104</c:v>
                </c:pt>
                <c:pt idx="7">
                  <c:v>0.35676006680923478</c:v>
                </c:pt>
                <c:pt idx="8">
                  <c:v>0.33748775950004356</c:v>
                </c:pt>
                <c:pt idx="9">
                  <c:v>0.33748775950004356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D4A-494C-BB9E-67CF6B43ABBB}"/>
            </c:ext>
          </c:extLst>
        </c:ser>
        <c:ser>
          <c:idx val="5"/>
          <c:order val="5"/>
          <c:tx>
            <c:strRef>
              <c:f>'Elemzés 3'!$BD$125</c:f>
              <c:strCache>
                <c:ptCount val="1"/>
                <c:pt idx="0">
                  <c:v>Összeszerelők + szakképzetlenek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'Elemzés 3'!$AW$126:$AX$140</c:f>
              <c:multiLvlStrCache>
                <c:ptCount val="15"/>
                <c:lvl>
                  <c:pt idx="0">
                    <c:v>2011</c:v>
                  </c:pt>
                  <c:pt idx="1">
                    <c:v>2015</c:v>
                  </c:pt>
                  <c:pt idx="2">
                    <c:v>2020</c:v>
                  </c:pt>
                  <c:pt idx="3">
                    <c:v>2025 bázis</c:v>
                  </c:pt>
                  <c:pt idx="4">
                    <c:v>2025 modellezés</c:v>
                  </c:pt>
                  <c:pt idx="5">
                    <c:v>2011</c:v>
                  </c:pt>
                  <c:pt idx="6">
                    <c:v>2015</c:v>
                  </c:pt>
                  <c:pt idx="7">
                    <c:v>2020</c:v>
                  </c:pt>
                  <c:pt idx="8">
                    <c:v>2025 bázis</c:v>
                  </c:pt>
                  <c:pt idx="9">
                    <c:v>2025 modellezés</c:v>
                  </c:pt>
                  <c:pt idx="10">
                    <c:v>2011</c:v>
                  </c:pt>
                  <c:pt idx="11">
                    <c:v>2015</c:v>
                  </c:pt>
                  <c:pt idx="12">
                    <c:v>2020</c:v>
                  </c:pt>
                  <c:pt idx="13">
                    <c:v>2025 bázis</c:v>
                  </c:pt>
                  <c:pt idx="14">
                    <c:v>2025 modellezés</c:v>
                  </c:pt>
                </c:lvl>
                <c:lvl>
                  <c:pt idx="0">
                    <c:v>Upstream</c:v>
                  </c:pt>
                  <c:pt idx="5">
                    <c:v>Gyártás</c:v>
                  </c:pt>
                  <c:pt idx="10">
                    <c:v>Down-stream</c:v>
                  </c:pt>
                </c:lvl>
              </c:multiLvlStrCache>
            </c:multiLvlStrRef>
          </c:cat>
          <c:val>
            <c:numRef>
              <c:f>'Elemzés 3'!$BD$126:$BD$140</c:f>
              <c:numCache>
                <c:formatCode>0%</c:formatCode>
                <c:ptCount val="15"/>
                <c:pt idx="5">
                  <c:v>0.34382893384854996</c:v>
                </c:pt>
                <c:pt idx="6">
                  <c:v>0.33501995508283428</c:v>
                </c:pt>
                <c:pt idx="7">
                  <c:v>0.35760446127313206</c:v>
                </c:pt>
                <c:pt idx="8">
                  <c:v>0.37110510366669647</c:v>
                </c:pt>
                <c:pt idx="9">
                  <c:v>0.37110510366669647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D4A-494C-BB9E-67CF6B43ABBB}"/>
            </c:ext>
          </c:extLst>
        </c:ser>
        <c:ser>
          <c:idx val="6"/>
          <c:order val="6"/>
          <c:tx>
            <c:strRef>
              <c:f>'Elemzés 3'!$BE$125</c:f>
              <c:strCache>
                <c:ptCount val="1"/>
                <c:pt idx="0">
                  <c:v>Vezetők + felsőfokúak + Egyéb felső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'Elemzés 3'!$AW$126:$AX$140</c:f>
              <c:multiLvlStrCache>
                <c:ptCount val="15"/>
                <c:lvl>
                  <c:pt idx="0">
                    <c:v>2011</c:v>
                  </c:pt>
                  <c:pt idx="1">
                    <c:v>2015</c:v>
                  </c:pt>
                  <c:pt idx="2">
                    <c:v>2020</c:v>
                  </c:pt>
                  <c:pt idx="3">
                    <c:v>2025 bázis</c:v>
                  </c:pt>
                  <c:pt idx="4">
                    <c:v>2025 modellezés</c:v>
                  </c:pt>
                  <c:pt idx="5">
                    <c:v>2011</c:v>
                  </c:pt>
                  <c:pt idx="6">
                    <c:v>2015</c:v>
                  </c:pt>
                  <c:pt idx="7">
                    <c:v>2020</c:v>
                  </c:pt>
                  <c:pt idx="8">
                    <c:v>2025 bázis</c:v>
                  </c:pt>
                  <c:pt idx="9">
                    <c:v>2025 modellezés</c:v>
                  </c:pt>
                  <c:pt idx="10">
                    <c:v>2011</c:v>
                  </c:pt>
                  <c:pt idx="11">
                    <c:v>2015</c:v>
                  </c:pt>
                  <c:pt idx="12">
                    <c:v>2020</c:v>
                  </c:pt>
                  <c:pt idx="13">
                    <c:v>2025 bázis</c:v>
                  </c:pt>
                  <c:pt idx="14">
                    <c:v>2025 modellezés</c:v>
                  </c:pt>
                </c:lvl>
                <c:lvl>
                  <c:pt idx="0">
                    <c:v>Upstream</c:v>
                  </c:pt>
                  <c:pt idx="5">
                    <c:v>Gyártás</c:v>
                  </c:pt>
                  <c:pt idx="10">
                    <c:v>Down-stream</c:v>
                  </c:pt>
                </c:lvl>
              </c:multiLvlStrCache>
            </c:multiLvlStrRef>
          </c:cat>
          <c:val>
            <c:numRef>
              <c:f>'Elemzés 3'!$BE$126:$BE$140</c:f>
              <c:numCache>
                <c:formatCode>0%</c:formatCode>
                <c:ptCount val="15"/>
                <c:pt idx="10">
                  <c:v>0.48850211137840133</c:v>
                </c:pt>
                <c:pt idx="11">
                  <c:v>0.50379429125899566</c:v>
                </c:pt>
                <c:pt idx="12">
                  <c:v>0.49753630354952405</c:v>
                </c:pt>
                <c:pt idx="13">
                  <c:v>0.50091363472962536</c:v>
                </c:pt>
                <c:pt idx="14">
                  <c:v>0.50091363472962547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D4A-494C-BB9E-67CF6B43ABBB}"/>
            </c:ext>
          </c:extLst>
        </c:ser>
        <c:ser>
          <c:idx val="7"/>
          <c:order val="7"/>
          <c:tx>
            <c:strRef>
              <c:f>'Elemzés 3'!$BF$125</c:f>
              <c:strCache>
                <c:ptCount val="1"/>
                <c:pt idx="0">
                  <c:v>Szakmák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'Elemzés 3'!$AW$126:$AX$140</c:f>
              <c:multiLvlStrCache>
                <c:ptCount val="15"/>
                <c:lvl>
                  <c:pt idx="0">
                    <c:v>2011</c:v>
                  </c:pt>
                  <c:pt idx="1">
                    <c:v>2015</c:v>
                  </c:pt>
                  <c:pt idx="2">
                    <c:v>2020</c:v>
                  </c:pt>
                  <c:pt idx="3">
                    <c:v>2025 bázis</c:v>
                  </c:pt>
                  <c:pt idx="4">
                    <c:v>2025 modellezés</c:v>
                  </c:pt>
                  <c:pt idx="5">
                    <c:v>2011</c:v>
                  </c:pt>
                  <c:pt idx="6">
                    <c:v>2015</c:v>
                  </c:pt>
                  <c:pt idx="7">
                    <c:v>2020</c:v>
                  </c:pt>
                  <c:pt idx="8">
                    <c:v>2025 bázis</c:v>
                  </c:pt>
                  <c:pt idx="9">
                    <c:v>2025 modellezés</c:v>
                  </c:pt>
                  <c:pt idx="10">
                    <c:v>2011</c:v>
                  </c:pt>
                  <c:pt idx="11">
                    <c:v>2015</c:v>
                  </c:pt>
                  <c:pt idx="12">
                    <c:v>2020</c:v>
                  </c:pt>
                  <c:pt idx="13">
                    <c:v>2025 bázis</c:v>
                  </c:pt>
                  <c:pt idx="14">
                    <c:v>2025 modellezés</c:v>
                  </c:pt>
                </c:lvl>
                <c:lvl>
                  <c:pt idx="0">
                    <c:v>Upstream</c:v>
                  </c:pt>
                  <c:pt idx="5">
                    <c:v>Gyártás</c:v>
                  </c:pt>
                  <c:pt idx="10">
                    <c:v>Down-stream</c:v>
                  </c:pt>
                </c:lvl>
              </c:multiLvlStrCache>
            </c:multiLvlStrRef>
          </c:cat>
          <c:val>
            <c:numRef>
              <c:f>'Elemzés 3'!$BF$126:$BF$140</c:f>
              <c:numCache>
                <c:formatCode>0%</c:formatCode>
                <c:ptCount val="15"/>
                <c:pt idx="10">
                  <c:v>0.40283278614334195</c:v>
                </c:pt>
                <c:pt idx="11">
                  <c:v>0.40728325382065178</c:v>
                </c:pt>
                <c:pt idx="12">
                  <c:v>0.40880946338635982</c:v>
                </c:pt>
                <c:pt idx="13">
                  <c:v>0.41374627133402714</c:v>
                </c:pt>
                <c:pt idx="14">
                  <c:v>0.41374627133402719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D4A-494C-BB9E-67CF6B43ABBB}"/>
            </c:ext>
          </c:extLst>
        </c:ser>
        <c:ser>
          <c:idx val="8"/>
          <c:order val="8"/>
          <c:tx>
            <c:strRef>
              <c:f>'Elemzés 3'!$BG$125</c:f>
              <c:strCache>
                <c:ptCount val="1"/>
                <c:pt idx="0">
                  <c:v>Összeszerelők + szakképzetlenek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'Elemzés 3'!$AW$126:$AX$140</c:f>
              <c:multiLvlStrCache>
                <c:ptCount val="15"/>
                <c:lvl>
                  <c:pt idx="0">
                    <c:v>2011</c:v>
                  </c:pt>
                  <c:pt idx="1">
                    <c:v>2015</c:v>
                  </c:pt>
                  <c:pt idx="2">
                    <c:v>2020</c:v>
                  </c:pt>
                  <c:pt idx="3">
                    <c:v>2025 bázis</c:v>
                  </c:pt>
                  <c:pt idx="4">
                    <c:v>2025 modellezés</c:v>
                  </c:pt>
                  <c:pt idx="5">
                    <c:v>2011</c:v>
                  </c:pt>
                  <c:pt idx="6">
                    <c:v>2015</c:v>
                  </c:pt>
                  <c:pt idx="7">
                    <c:v>2020</c:v>
                  </c:pt>
                  <c:pt idx="8">
                    <c:v>2025 bázis</c:v>
                  </c:pt>
                  <c:pt idx="9">
                    <c:v>2025 modellezés</c:v>
                  </c:pt>
                  <c:pt idx="10">
                    <c:v>2011</c:v>
                  </c:pt>
                  <c:pt idx="11">
                    <c:v>2015</c:v>
                  </c:pt>
                  <c:pt idx="12">
                    <c:v>2020</c:v>
                  </c:pt>
                  <c:pt idx="13">
                    <c:v>2025 bázis</c:v>
                  </c:pt>
                  <c:pt idx="14">
                    <c:v>2025 modellezés</c:v>
                  </c:pt>
                </c:lvl>
                <c:lvl>
                  <c:pt idx="0">
                    <c:v>Upstream</c:v>
                  </c:pt>
                  <c:pt idx="5">
                    <c:v>Gyártás</c:v>
                  </c:pt>
                  <c:pt idx="10">
                    <c:v>Down-stream</c:v>
                  </c:pt>
                </c:lvl>
              </c:multiLvlStrCache>
            </c:multiLvlStrRef>
          </c:cat>
          <c:val>
            <c:numRef>
              <c:f>'Elemzés 3'!$BG$126:$BG$140</c:f>
              <c:numCache>
                <c:formatCode>0%</c:formatCode>
                <c:ptCount val="15"/>
                <c:pt idx="10">
                  <c:v>0.1086651024782567</c:v>
                </c:pt>
                <c:pt idx="11">
                  <c:v>8.8922454920352542E-2</c:v>
                </c:pt>
                <c:pt idx="12">
                  <c:v>9.3654233064116188E-2</c:v>
                </c:pt>
                <c:pt idx="13">
                  <c:v>8.534009393634745E-2</c:v>
                </c:pt>
                <c:pt idx="14">
                  <c:v>8.534009393634745E-2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D4A-494C-BB9E-67CF6B43ABB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714498304"/>
        <c:axId val="714492480"/>
      </c:barChart>
      <c:catAx>
        <c:axId val="714498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30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714492480"/>
        <c:crosses val="autoZero"/>
        <c:auto val="1"/>
        <c:lblAlgn val="ctr"/>
        <c:lblOffset val="100"/>
        <c:noMultiLvlLbl val="0"/>
      </c:catAx>
      <c:valAx>
        <c:axId val="714492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714498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7"/>
        <c:delete val="1"/>
      </c:legendEntry>
      <c:legendEntry>
        <c:idx val="8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Peremszámok!$AB$2</c:f>
          <c:strCache>
            <c:ptCount val="1"/>
            <c:pt idx="0">
              <c:v>Végső fogyasztás összesen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Peremszámok!$AB$3</c:f>
              <c:strCache>
                <c:ptCount val="1"/>
                <c:pt idx="0">
                  <c:v>Folyó ár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Peremszámok!$AB$5:$AB$35</c:f>
              <c:numCache>
                <c:formatCode>#,##0</c:formatCode>
                <c:ptCount val="31"/>
                <c:pt idx="0">
                  <c:v>4486015</c:v>
                </c:pt>
                <c:pt idx="1">
                  <c:v>5321615</c:v>
                </c:pt>
                <c:pt idx="2">
                  <c:v>6427687</c:v>
                </c:pt>
                <c:pt idx="3">
                  <c:v>7608028</c:v>
                </c:pt>
                <c:pt idx="4">
                  <c:v>8794997</c:v>
                </c:pt>
                <c:pt idx="5">
                  <c:v>10076437</c:v>
                </c:pt>
                <c:pt idx="6">
                  <c:v>11557527</c:v>
                </c:pt>
                <c:pt idx="7">
                  <c:v>13326920</c:v>
                </c:pt>
                <c:pt idx="8">
                  <c:v>15179257</c:v>
                </c:pt>
                <c:pt idx="9">
                  <c:v>16245509</c:v>
                </c:pt>
                <c:pt idx="10">
                  <c:v>17360534</c:v>
                </c:pt>
                <c:pt idx="11">
                  <c:v>18319915</c:v>
                </c:pt>
                <c:pt idx="12">
                  <c:v>19323427</c:v>
                </c:pt>
                <c:pt idx="13">
                  <c:v>20418236</c:v>
                </c:pt>
                <c:pt idx="14">
                  <c:v>20030361</c:v>
                </c:pt>
                <c:pt idx="15">
                  <c:v>20368705</c:v>
                </c:pt>
                <c:pt idx="16">
                  <c:v>20982566</c:v>
                </c:pt>
                <c:pt idx="17">
                  <c:v>21388662</c:v>
                </c:pt>
                <c:pt idx="18">
                  <c:v>21835219</c:v>
                </c:pt>
                <c:pt idx="19">
                  <c:v>23004026</c:v>
                </c:pt>
                <c:pt idx="20">
                  <c:v>24050513</c:v>
                </c:pt>
                <c:pt idx="21">
                  <c:v>25374980</c:v>
                </c:pt>
                <c:pt idx="22">
                  <c:v>27608900</c:v>
                </c:pt>
                <c:pt idx="23">
                  <c:v>29900563</c:v>
                </c:pt>
                <c:pt idx="24">
                  <c:v>32654543</c:v>
                </c:pt>
                <c:pt idx="25">
                  <c:v>33565450.77524662</c:v>
                </c:pt>
                <c:pt idx="26">
                  <c:v>37308738.996404052</c:v>
                </c:pt>
                <c:pt idx="27">
                  <c:v>40779498.183757208</c:v>
                </c:pt>
                <c:pt idx="28">
                  <c:v>44800618.00500831</c:v>
                </c:pt>
                <c:pt idx="29">
                  <c:v>49469922.072666951</c:v>
                </c:pt>
                <c:pt idx="30">
                  <c:v>54905575.257740989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92-4B1C-92F4-A3D1137B5C1B}"/>
            </c:ext>
          </c:extLst>
        </c:ser>
        <c:ser>
          <c:idx val="3"/>
          <c:order val="3"/>
          <c:tx>
            <c:strRef>
              <c:f>Peremszámok!$AF$3</c:f>
              <c:strCache>
                <c:ptCount val="1"/>
                <c:pt idx="0">
                  <c:v>2015 évi ár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Peremszámok!$AG$5:$AG$35</c:f>
              <c:numCache>
                <c:formatCode>#,##0</c:formatCode>
                <c:ptCount val="31"/>
                <c:pt idx="0">
                  <c:v>17206408.913201474</c:v>
                </c:pt>
                <c:pt idx="1">
                  <c:v>16768107.221000655</c:v>
                </c:pt>
                <c:pt idx="2">
                  <c:v>16960346.272783477</c:v>
                </c:pt>
                <c:pt idx="3">
                  <c:v>17417107.89505136</c:v>
                </c:pt>
                <c:pt idx="4">
                  <c:v>18325852.685837675</c:v>
                </c:pt>
                <c:pt idx="5">
                  <c:v>18950732.178731941</c:v>
                </c:pt>
                <c:pt idx="6">
                  <c:v>19780870.275458008</c:v>
                </c:pt>
                <c:pt idx="7">
                  <c:v>21207251.250399929</c:v>
                </c:pt>
                <c:pt idx="8">
                  <c:v>22792578.782414049</c:v>
                </c:pt>
                <c:pt idx="9">
                  <c:v>23175391.222609576</c:v>
                </c:pt>
                <c:pt idx="10">
                  <c:v>23781272.120619338</c:v>
                </c:pt>
                <c:pt idx="11">
                  <c:v>24167285.362763025</c:v>
                </c:pt>
                <c:pt idx="12">
                  <c:v>24043630.604497831</c:v>
                </c:pt>
                <c:pt idx="13">
                  <c:v>24025576.194166202</c:v>
                </c:pt>
                <c:pt idx="14">
                  <c:v>22921933.900695052</c:v>
                </c:pt>
                <c:pt idx="15">
                  <c:v>22709959.613054339</c:v>
                </c:pt>
                <c:pt idx="16">
                  <c:v>22871859.474898871</c:v>
                </c:pt>
                <c:pt idx="17">
                  <c:v>22413824.201646186</c:v>
                </c:pt>
                <c:pt idx="18">
                  <c:v>22577713.144693118</c:v>
                </c:pt>
                <c:pt idx="19">
                  <c:v>23291691.134608597</c:v>
                </c:pt>
                <c:pt idx="20">
                  <c:v>24050513</c:v>
                </c:pt>
                <c:pt idx="21">
                  <c:v>24912677</c:v>
                </c:pt>
                <c:pt idx="22">
                  <c:v>25988913.348908097</c:v>
                </c:pt>
                <c:pt idx="23">
                  <c:v>27061533.879669093</c:v>
                </c:pt>
                <c:pt idx="24">
                  <c:v>28210623.712409597</c:v>
                </c:pt>
                <c:pt idx="25">
                  <c:v>27891359.414162636</c:v>
                </c:pt>
                <c:pt idx="26">
                  <c:v>29369672.666405201</c:v>
                </c:pt>
                <c:pt idx="27">
                  <c:v>30231692.458942413</c:v>
                </c:pt>
                <c:pt idx="28">
                  <c:v>31093712.251479626</c:v>
                </c:pt>
                <c:pt idx="29">
                  <c:v>31955732.044016838</c:v>
                </c:pt>
                <c:pt idx="30">
                  <c:v>32817751.836554289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92-4B1C-92F4-A3D1137B5C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2019183"/>
        <c:axId val="502021679"/>
      </c:lineChart>
      <c:lineChart>
        <c:grouping val="standard"/>
        <c:varyColors val="0"/>
        <c:ser>
          <c:idx val="1"/>
          <c:order val="1"/>
          <c:tx>
            <c:strRef>
              <c:f>Peremszámok!$AD$3</c:f>
              <c:strCache>
                <c:ptCount val="1"/>
                <c:pt idx="0">
                  <c:v>Folyó árak az előző évi árak %-ban (ptpt-1)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Peremszámok!$AD$5:$AD$35</c:f>
              <c:numCache>
                <c:formatCode>#\ ##0.0000</c:formatCode>
                <c:ptCount val="31"/>
                <c:pt idx="1">
                  <c:v>1.2172756306296209</c:v>
                </c:pt>
                <c:pt idx="2">
                  <c:v>1.1941547107591557</c:v>
                </c:pt>
                <c:pt idx="3">
                  <c:v>1.152593203967039</c:v>
                </c:pt>
                <c:pt idx="4">
                  <c:v>1.0986906900454467</c:v>
                </c:pt>
                <c:pt idx="5">
                  <c:v>1.1079227887393044</c:v>
                </c:pt>
                <c:pt idx="6">
                  <c:v>1.0988502768059893</c:v>
                </c:pt>
                <c:pt idx="7">
                  <c:v>1.075538317140037</c:v>
                </c:pt>
                <c:pt idx="8">
                  <c:v>1.0597700465700275</c:v>
                </c:pt>
                <c:pt idx="9">
                  <c:v>1.0525656658589366</c:v>
                </c:pt>
                <c:pt idx="10">
                  <c:v>1.0414100113855727</c:v>
                </c:pt>
                <c:pt idx="11">
                  <c:v>1.0384069516453243</c:v>
                </c:pt>
                <c:pt idx="12">
                  <c:v>1.0602017570440847</c:v>
                </c:pt>
                <c:pt idx="13">
                  <c:v>1.0574511247834355</c:v>
                </c:pt>
                <c:pt idx="14">
                  <c:v>1.0282367300176727</c:v>
                </c:pt>
                <c:pt idx="15">
                  <c:v>1.0263832022843693</c:v>
                </c:pt>
                <c:pt idx="16">
                  <c:v>1.0228455671599286</c:v>
                </c:pt>
                <c:pt idx="17">
                  <c:v>1.0401848697761726</c:v>
                </c:pt>
                <c:pt idx="18">
                  <c:v>1.0134677771767118</c:v>
                </c:pt>
                <c:pt idx="19">
                  <c:v>1.0212339078929209</c:v>
                </c:pt>
                <c:pt idx="20">
                  <c:v>1.0125049908484973</c:v>
                </c:pt>
                <c:pt idx="21">
                  <c:v>1.0185569378995281</c:v>
                </c:pt>
                <c:pt idx="22">
                  <c:v>1.0429792572966503</c:v>
                </c:pt>
                <c:pt idx="23">
                  <c:v>1.0400781525749223</c:v>
                </c:pt>
                <c:pt idx="24">
                  <c:v>1.0476204454741458</c:v>
                </c:pt>
                <c:pt idx="25">
                  <c:v>1.0396613038163633</c:v>
                </c:pt>
                <c:pt idx="26">
                  <c:v>1.0555739462691633</c:v>
                </c:pt>
                <c:pt idx="27">
                  <c:v>1.0618616886360623</c:v>
                </c:pt>
                <c:pt idx="28">
                  <c:v>1.0681494310029613</c:v>
                </c:pt>
                <c:pt idx="29">
                  <c:v>1.0744371733698603</c:v>
                </c:pt>
                <c:pt idx="30">
                  <c:v>1.0807249157367593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C92-4B1C-92F4-A3D1137B5C1B}"/>
            </c:ext>
          </c:extLst>
        </c:ser>
        <c:ser>
          <c:idx val="2"/>
          <c:order val="2"/>
          <c:tx>
            <c:strRef>
              <c:f>Peremszámok!$AE$3</c:f>
              <c:strCache>
                <c:ptCount val="1"/>
                <c:pt idx="0">
                  <c:v>Folyó árak a 2015 évi árak %-ban (ptp14)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Peremszámok!$AE$5:$AE$35</c:f>
              <c:numCache>
                <c:formatCode>#\ ##0.0000</c:formatCode>
                <c:ptCount val="31"/>
                <c:pt idx="0">
                  <c:v>0.26071767924555961</c:v>
                </c:pt>
                <c:pt idx="1">
                  <c:v>0.31736527741992976</c:v>
                </c:pt>
                <c:pt idx="2">
                  <c:v>0.37898324106239545</c:v>
                </c:pt>
                <c:pt idx="3">
                  <c:v>0.43681350806591906</c:v>
                </c:pt>
                <c:pt idx="4">
                  <c:v>0.47992293459811691</c:v>
                </c:pt>
                <c:pt idx="5">
                  <c:v>0.53171755607989646</c:v>
                </c:pt>
                <c:pt idx="6">
                  <c:v>0.58427798368099837</c:v>
                </c:pt>
                <c:pt idx="7">
                  <c:v>0.62841335931023501</c:v>
                </c:pt>
                <c:pt idx="8">
                  <c:v>0.66597365506143513</c:v>
                </c:pt>
                <c:pt idx="9">
                  <c:v>0.7009810036842492</c:v>
                </c:pt>
                <c:pt idx="10">
                  <c:v>0.73000863502788416</c:v>
                </c:pt>
                <c:pt idx="11">
                  <c:v>0.75804604137406928</c:v>
                </c:pt>
                <c:pt idx="12">
                  <c:v>0.80368174498510114</c:v>
                </c:pt>
                <c:pt idx="13">
                  <c:v>0.84985416520240942</c:v>
                </c:pt>
                <c:pt idx="14">
                  <c:v>0.87385126781962441</c:v>
                </c:pt>
                <c:pt idx="15">
                  <c:v>0.89690626258496209</c:v>
                </c:pt>
                <c:pt idx="16">
                  <c:v>0.9173965948430074</c:v>
                </c:pt>
                <c:pt idx="17">
                  <c:v>0.95426205753987781</c:v>
                </c:pt>
                <c:pt idx="18">
                  <c:v>0.96711384629901542</c:v>
                </c:pt>
                <c:pt idx="19">
                  <c:v>0.98764945263329718</c:v>
                </c:pt>
                <c:pt idx="20">
                  <c:v>1</c:v>
                </c:pt>
                <c:pt idx="21">
                  <c:v>1.0185569378995281</c:v>
                </c:pt>
                <c:pt idx="22">
                  <c:v>1.0623337586048001</c:v>
                </c:pt>
                <c:pt idx="23">
                  <c:v>1.1049101330676538</c:v>
                </c:pt>
                <c:pt idx="24">
                  <c:v>1.1575264458132333</c:v>
                </c:pt>
                <c:pt idx="25">
                  <c:v>1.2034354538561072</c:v>
                </c:pt>
                <c:pt idx="26">
                  <c:v>1.2703151111071127</c:v>
                </c:pt>
                <c:pt idx="27">
                  <c:v>1.3488989489801058</c:v>
                </c:pt>
                <c:pt idx="28">
                  <c:v>1.4408256448335925</c:v>
                </c:pt>
                <c:pt idx="29">
                  <c:v>1.5480766331538114</c:v>
                </c:pt>
                <c:pt idx="30">
                  <c:v>1.6730449889191989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C92-4B1C-92F4-A3D1137B5C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2024175"/>
        <c:axId val="502007951"/>
      </c:lineChart>
      <c:catAx>
        <c:axId val="502019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502021679"/>
        <c:crosses val="autoZero"/>
        <c:auto val="1"/>
        <c:lblAlgn val="ctr"/>
        <c:lblOffset val="100"/>
        <c:noMultiLvlLbl val="0"/>
      </c:catAx>
      <c:valAx>
        <c:axId val="5020216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502019183"/>
        <c:crosses val="autoZero"/>
        <c:crossBetween val="between"/>
      </c:valAx>
      <c:valAx>
        <c:axId val="502007951"/>
        <c:scaling>
          <c:orientation val="minMax"/>
        </c:scaling>
        <c:delete val="0"/>
        <c:axPos val="r"/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502024175"/>
        <c:crosses val="max"/>
        <c:crossBetween val="between"/>
      </c:valAx>
      <c:catAx>
        <c:axId val="50202417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0200795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Peremszámok!$AH$2</c:f>
          <c:strCache>
            <c:ptCount val="1"/>
            <c:pt idx="0">
              <c:v>Bruttó felhalmozás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Peremszámok!$AH$3</c:f>
              <c:strCache>
                <c:ptCount val="1"/>
                <c:pt idx="0">
                  <c:v>Folyó ár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Peremszámok!$AH$5:$AH$35</c:f>
              <c:numCache>
                <c:formatCode>#,##0</c:formatCode>
                <c:ptCount val="31"/>
                <c:pt idx="0">
                  <c:v>1350920</c:v>
                </c:pt>
                <c:pt idx="1">
                  <c:v>1766975</c:v>
                </c:pt>
                <c:pt idx="2">
                  <c:v>2321874</c:v>
                </c:pt>
                <c:pt idx="3">
                  <c:v>2998693</c:v>
                </c:pt>
                <c:pt idx="4">
                  <c:v>3161239</c:v>
                </c:pt>
                <c:pt idx="5">
                  <c:v>3739382</c:v>
                </c:pt>
                <c:pt idx="6">
                  <c:v>4039882</c:v>
                </c:pt>
                <c:pt idx="7">
                  <c:v>4463664</c:v>
                </c:pt>
                <c:pt idx="8">
                  <c:v>4708399</c:v>
                </c:pt>
                <c:pt idx="9">
                  <c:v>5666389</c:v>
                </c:pt>
                <c:pt idx="10">
                  <c:v>5708903</c:v>
                </c:pt>
                <c:pt idx="11">
                  <c:v>6271079</c:v>
                </c:pt>
                <c:pt idx="12">
                  <c:v>6239747</c:v>
                </c:pt>
                <c:pt idx="13">
                  <c:v>6702203</c:v>
                </c:pt>
                <c:pt idx="14">
                  <c:v>5361326</c:v>
                </c:pt>
                <c:pt idx="15">
                  <c:v>5618263</c:v>
                </c:pt>
                <c:pt idx="16">
                  <c:v>5783412</c:v>
                </c:pt>
                <c:pt idx="17">
                  <c:v>5577544</c:v>
                </c:pt>
                <c:pt idx="18">
                  <c:v>6337912</c:v>
                </c:pt>
                <c:pt idx="19">
                  <c:v>7663325</c:v>
                </c:pt>
                <c:pt idx="20">
                  <c:v>8108326</c:v>
                </c:pt>
                <c:pt idx="21">
                  <c:v>7652259</c:v>
                </c:pt>
                <c:pt idx="22">
                  <c:v>8946865</c:v>
                </c:pt>
                <c:pt idx="23">
                  <c:v>11537960</c:v>
                </c:pt>
                <c:pt idx="24">
                  <c:v>13377583</c:v>
                </c:pt>
                <c:pt idx="25">
                  <c:v>13349397.454684319</c:v>
                </c:pt>
                <c:pt idx="26">
                  <c:v>16164049.25776659</c:v>
                </c:pt>
                <c:pt idx="27">
                  <c:v>18619443.995100688</c:v>
                </c:pt>
                <c:pt idx="28">
                  <c:v>21550732.664616436</c:v>
                </c:pt>
                <c:pt idx="29">
                  <c:v>25068482.53400458</c:v>
                </c:pt>
                <c:pt idx="30">
                  <c:v>29311684.220534369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7D-4841-B4A7-D6C1858B792C}"/>
            </c:ext>
          </c:extLst>
        </c:ser>
        <c:ser>
          <c:idx val="3"/>
          <c:order val="3"/>
          <c:tx>
            <c:strRef>
              <c:f>Peremszámok!$AL$3</c:f>
              <c:strCache>
                <c:ptCount val="1"/>
                <c:pt idx="0">
                  <c:v>2015 évi ár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Peremszámok!$AM$5:$AM$35</c:f>
              <c:numCache>
                <c:formatCode>#,##0</c:formatCode>
                <c:ptCount val="31"/>
                <c:pt idx="0">
                  <c:v>5466892.7498469595</c:v>
                </c:pt>
                <c:pt idx="1">
                  <c:v>5752656.9931259425</c:v>
                </c:pt>
                <c:pt idx="2">
                  <c:v>6380568.225005406</c:v>
                </c:pt>
                <c:pt idx="3">
                  <c:v>7624159.5415643342</c:v>
                </c:pt>
                <c:pt idx="4">
                  <c:v>7690879.6741986955</c:v>
                </c:pt>
                <c:pt idx="5">
                  <c:v>8121857.5131172184</c:v>
                </c:pt>
                <c:pt idx="6">
                  <c:v>7827510.979337668</c:v>
                </c:pt>
                <c:pt idx="7">
                  <c:v>8225553.4761334257</c:v>
                </c:pt>
                <c:pt idx="8">
                  <c:v>8359002.1196875004</c:v>
                </c:pt>
                <c:pt idx="9">
                  <c:v>9667004.079526756</c:v>
                </c:pt>
                <c:pt idx="10">
                  <c:v>9506687.1580522154</c:v>
                </c:pt>
                <c:pt idx="11">
                  <c:v>9733789.1041250154</c:v>
                </c:pt>
                <c:pt idx="12">
                  <c:v>9457198.3797538728</c:v>
                </c:pt>
                <c:pt idx="13">
                  <c:v>9670604.7732285596</c:v>
                </c:pt>
                <c:pt idx="14">
                  <c:v>7225422.698400165</c:v>
                </c:pt>
                <c:pt idx="15">
                  <c:v>7411555.3043490369</c:v>
                </c:pt>
                <c:pt idx="16">
                  <c:v>7213278.437396694</c:v>
                </c:pt>
                <c:pt idx="17">
                  <c:v>6779817.852486345</c:v>
                </c:pt>
                <c:pt idx="18">
                  <c:v>7194569.2539494075</c:v>
                </c:pt>
                <c:pt idx="19">
                  <c:v>8120069.5618290696</c:v>
                </c:pt>
                <c:pt idx="20">
                  <c:v>8108326</c:v>
                </c:pt>
                <c:pt idx="21">
                  <c:v>7773420</c:v>
                </c:pt>
                <c:pt idx="22">
                  <c:v>8614023.1243087817</c:v>
                </c:pt>
                <c:pt idx="23">
                  <c:v>10012391.804261951</c:v>
                </c:pt>
                <c:pt idx="24">
                  <c:v>11054080.736565605</c:v>
                </c:pt>
                <c:pt idx="25">
                  <c:v>10337231.790629268</c:v>
                </c:pt>
                <c:pt idx="26">
                  <c:v>11555066.893573999</c:v>
                </c:pt>
                <c:pt idx="27">
                  <c:v>12194634.889082432</c:v>
                </c:pt>
                <c:pt idx="28">
                  <c:v>12834202.884590864</c:v>
                </c:pt>
                <c:pt idx="29">
                  <c:v>13473770.880099535</c:v>
                </c:pt>
                <c:pt idx="30">
                  <c:v>14113338.875607967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7D-4841-B4A7-D6C1858B79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0155631"/>
        <c:axId val="630156047"/>
      </c:lineChart>
      <c:lineChart>
        <c:grouping val="standard"/>
        <c:varyColors val="0"/>
        <c:ser>
          <c:idx val="1"/>
          <c:order val="1"/>
          <c:tx>
            <c:strRef>
              <c:f>Peremszámok!$AJ$3</c:f>
              <c:strCache>
                <c:ptCount val="1"/>
                <c:pt idx="0">
                  <c:v>Folyó árak az előző évi árak %-ban (ptpt-1)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Peremszámok!$AJ$5:$AJ$35</c:f>
              <c:numCache>
                <c:formatCode>#\ ##0.0000</c:formatCode>
                <c:ptCount val="31"/>
                <c:pt idx="1">
                  <c:v>1.2430049207370906</c:v>
                </c:pt>
                <c:pt idx="2">
                  <c:v>1.1847244906862437</c:v>
                </c:pt>
                <c:pt idx="3">
                  <c:v>1.0808383319865025</c:v>
                </c:pt>
                <c:pt idx="4">
                  <c:v>1.0450601417881706</c:v>
                </c:pt>
                <c:pt idx="5">
                  <c:v>1.1201163915387879</c:v>
                </c:pt>
                <c:pt idx="6">
                  <c:v>1.1209868746361542</c:v>
                </c:pt>
                <c:pt idx="7">
                  <c:v>1.0514324372008026</c:v>
                </c:pt>
                <c:pt idx="8">
                  <c:v>1.0379882987098334</c:v>
                </c:pt>
                <c:pt idx="9">
                  <c:v>1.0406283670951144</c:v>
                </c:pt>
                <c:pt idx="10">
                  <c:v>1.0244929579941777</c:v>
                </c:pt>
                <c:pt idx="11">
                  <c:v>1.0728447443330782</c:v>
                </c:pt>
                <c:pt idx="12">
                  <c:v>1.024104188444124</c:v>
                </c:pt>
                <c:pt idx="13">
                  <c:v>1.050411484903339</c:v>
                </c:pt>
                <c:pt idx="14">
                  <c:v>1.07064381700353</c:v>
                </c:pt>
                <c:pt idx="15">
                  <c:v>1.0216067532718798</c:v>
                </c:pt>
                <c:pt idx="16">
                  <c:v>1.0576907918692178</c:v>
                </c:pt>
                <c:pt idx="17">
                  <c:v>1.0260618575666292</c:v>
                </c:pt>
                <c:pt idx="18">
                  <c:v>1.0708198880607669</c:v>
                </c:pt>
                <c:pt idx="19">
                  <c:v>1.0713122900156895</c:v>
                </c:pt>
                <c:pt idx="20">
                  <c:v>1.0596013560470252</c:v>
                </c:pt>
                <c:pt idx="21">
                  <c:v>0.98441342420710576</c:v>
                </c:pt>
                <c:pt idx="22">
                  <c:v>1.0550846957932771</c:v>
                </c:pt>
                <c:pt idx="23">
                  <c:v>1.1094975356914614</c:v>
                </c:pt>
                <c:pt idx="24">
                  <c:v>1.050180207528923</c:v>
                </c:pt>
                <c:pt idx="25">
                  <c:v>1.0670932853609543</c:v>
                </c:pt>
                <c:pt idx="26">
                  <c:v>1.083229034414785</c:v>
                </c:pt>
                <c:pt idx="27">
                  <c:v>1.0914911154557387</c:v>
                </c:pt>
                <c:pt idx="28">
                  <c:v>1.0997531964966889</c:v>
                </c:pt>
                <c:pt idx="29">
                  <c:v>1.1080152775376391</c:v>
                </c:pt>
                <c:pt idx="30">
                  <c:v>1.1162773585785892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67D-4841-B4A7-D6C1858B792C}"/>
            </c:ext>
          </c:extLst>
        </c:ser>
        <c:ser>
          <c:idx val="2"/>
          <c:order val="2"/>
          <c:tx>
            <c:strRef>
              <c:f>Peremszámok!$AK$3</c:f>
              <c:strCache>
                <c:ptCount val="1"/>
                <c:pt idx="0">
                  <c:v>Folyó árak a 2015 évi árak %-ban (ptp14)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Peremszámok!$AK$5:$AK$35</c:f>
              <c:numCache>
                <c:formatCode>#\ ##0.0000</c:formatCode>
                <c:ptCount val="31"/>
                <c:pt idx="0">
                  <c:v>0.24710929257535144</c:v>
                </c:pt>
                <c:pt idx="1">
                  <c:v>0.30715806663102324</c:v>
                </c:pt>
                <c:pt idx="2">
                  <c:v>0.36389768404961031</c:v>
                </c:pt>
                <c:pt idx="3">
                  <c:v>0.39331456584193208</c:v>
                </c:pt>
                <c:pt idx="4">
                  <c:v>0.41103737594612233</c:v>
                </c:pt>
                <c:pt idx="5">
                  <c:v>0.46040970233234274</c:v>
                </c:pt>
                <c:pt idx="6">
                  <c:v>0.51611323326969494</c:v>
                </c:pt>
                <c:pt idx="7">
                  <c:v>0.54265819472834165</c:v>
                </c:pt>
                <c:pt idx="8">
                  <c:v>0.56327285632702084</c:v>
                </c:pt>
                <c:pt idx="9">
                  <c:v>0.58615771270858874</c:v>
                </c:pt>
                <c:pt idx="10">
                  <c:v>0.60051444894392347</c:v>
                </c:pt>
                <c:pt idx="11">
                  <c:v>0.6442587704455629</c:v>
                </c:pt>
                <c:pt idx="12">
                  <c:v>0.6597881052551624</c:v>
                </c:pt>
                <c:pt idx="13">
                  <c:v>0.69304900336263564</c:v>
                </c:pt>
                <c:pt idx="14">
                  <c:v>0.74200863033066444</c:v>
                </c:pt>
                <c:pt idx="15">
                  <c:v>0.75804102773182458</c:v>
                </c:pt>
                <c:pt idx="16">
                  <c:v>0.80177301489102926</c:v>
                </c:pt>
                <c:pt idx="17">
                  <c:v>0.82266870900588607</c:v>
                </c:pt>
                <c:pt idx="18">
                  <c:v>0.88093001488877853</c:v>
                </c:pt>
                <c:pt idx="19">
                  <c:v>0.94375115159405276</c:v>
                </c:pt>
                <c:pt idx="20">
                  <c:v>1</c:v>
                </c:pt>
                <c:pt idx="21">
                  <c:v>0.98441342420710576</c:v>
                </c:pt>
                <c:pt idx="22">
                  <c:v>1.0386395382143725</c:v>
                </c:pt>
                <c:pt idx="23">
                  <c:v>1.1523680081205636</c:v>
                </c:pt>
                <c:pt idx="24">
                  <c:v>1.2101940739177452</c:v>
                </c:pt>
                <c:pt idx="25">
                  <c:v>1.2913899702612444</c:v>
                </c:pt>
                <c:pt idx="26">
                  <c:v>1.3988711105390257</c:v>
                </c:pt>
                <c:pt idx="27">
                  <c:v>1.5268553888210492</c:v>
                </c:pt>
                <c:pt idx="28">
                  <c:v>1.6791640944441437</c:v>
                </c:pt>
                <c:pt idx="29">
                  <c:v>1.8605394701367663</c:v>
                </c:pt>
                <c:pt idx="30">
                  <c:v>2.0768780852554776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67D-4841-B4A7-D6C1858B79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4552623"/>
        <c:axId val="204558031"/>
      </c:lineChart>
      <c:catAx>
        <c:axId val="6301556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630156047"/>
        <c:crosses val="autoZero"/>
        <c:auto val="1"/>
        <c:lblAlgn val="ctr"/>
        <c:lblOffset val="100"/>
        <c:noMultiLvlLbl val="0"/>
      </c:catAx>
      <c:valAx>
        <c:axId val="6301560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630155631"/>
        <c:crosses val="autoZero"/>
        <c:crossBetween val="between"/>
      </c:valAx>
      <c:valAx>
        <c:axId val="204558031"/>
        <c:scaling>
          <c:orientation val="minMax"/>
        </c:scaling>
        <c:delete val="0"/>
        <c:axPos val="r"/>
        <c:numFmt formatCode="#\ ##0.00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204552623"/>
        <c:crosses val="max"/>
        <c:crossBetween val="between"/>
      </c:valAx>
      <c:catAx>
        <c:axId val="20455262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455803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Peremszámok!$AN$2</c:f>
          <c:strCache>
            <c:ptCount val="1"/>
            <c:pt idx="0">
              <c:v>Export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Peremszámok!$AN$3</c:f>
              <c:strCache>
                <c:ptCount val="1"/>
                <c:pt idx="0">
                  <c:v>Folyó ár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Peremszámok!$AN$5:$AN$35</c:f>
              <c:numCache>
                <c:formatCode>#,##0</c:formatCode>
                <c:ptCount val="31"/>
                <c:pt idx="0">
                  <c:v>2287229</c:v>
                </c:pt>
                <c:pt idx="1">
                  <c:v>2983020</c:v>
                </c:pt>
                <c:pt idx="2">
                  <c:v>4232233</c:v>
                </c:pt>
                <c:pt idx="3">
                  <c:v>5527403</c:v>
                </c:pt>
                <c:pt idx="4">
                  <c:v>6475556</c:v>
                </c:pt>
                <c:pt idx="5">
                  <c:v>8908180</c:v>
                </c:pt>
                <c:pt idx="6">
                  <c:v>9990264</c:v>
                </c:pt>
                <c:pt idx="7">
                  <c:v>10135518</c:v>
                </c:pt>
                <c:pt idx="8">
                  <c:v>10778680</c:v>
                </c:pt>
                <c:pt idx="9">
                  <c:v>12573628</c:v>
                </c:pt>
                <c:pt idx="10">
                  <c:v>14125287</c:v>
                </c:pt>
                <c:pt idx="11">
                  <c:v>17962186</c:v>
                </c:pt>
                <c:pt idx="12">
                  <c:v>20032233</c:v>
                </c:pt>
                <c:pt idx="13">
                  <c:v>21576756</c:v>
                </c:pt>
                <c:pt idx="14">
                  <c:v>19684848</c:v>
                </c:pt>
                <c:pt idx="15">
                  <c:v>22292418</c:v>
                </c:pt>
                <c:pt idx="16">
                  <c:v>24565027</c:v>
                </c:pt>
                <c:pt idx="17">
                  <c:v>24902133</c:v>
                </c:pt>
                <c:pt idx="18">
                  <c:v>25923810</c:v>
                </c:pt>
                <c:pt idx="19">
                  <c:v>28580598</c:v>
                </c:pt>
                <c:pt idx="20">
                  <c:v>30603810</c:v>
                </c:pt>
                <c:pt idx="21">
                  <c:v>31284275</c:v>
                </c:pt>
                <c:pt idx="22">
                  <c:v>33744700</c:v>
                </c:pt>
                <c:pt idx="23">
                  <c:v>36364895</c:v>
                </c:pt>
                <c:pt idx="24">
                  <c:v>39050821</c:v>
                </c:pt>
                <c:pt idx="25">
                  <c:v>40050164.834822893</c:v>
                </c:pt>
                <c:pt idx="26">
                  <c:v>43067705.063175224</c:v>
                </c:pt>
                <c:pt idx="27">
                  <c:v>45952447.819136262</c:v>
                </c:pt>
                <c:pt idx="28">
                  <c:v>49147024.03990183</c:v>
                </c:pt>
                <c:pt idx="29">
                  <c:v>52693964.505724609</c:v>
                </c:pt>
                <c:pt idx="30">
                  <c:v>56641882.875754103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09-4425-8309-BA7475BCD6E6}"/>
            </c:ext>
          </c:extLst>
        </c:ser>
        <c:ser>
          <c:idx val="3"/>
          <c:order val="3"/>
          <c:tx>
            <c:strRef>
              <c:f>Peremszámok!$AR$3</c:f>
              <c:strCache>
                <c:ptCount val="1"/>
                <c:pt idx="0">
                  <c:v>2015 évi ár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Peremszámok!$AS$5:$AS$35</c:f>
              <c:numCache>
                <c:formatCode>#,##0</c:formatCode>
                <c:ptCount val="31"/>
                <c:pt idx="0">
                  <c:v>4638108.0130080599</c:v>
                </c:pt>
                <c:pt idx="1">
                  <c:v>5063244.2731005792</c:v>
                </c:pt>
                <c:pt idx="2">
                  <c:v>6214998.1693086447</c:v>
                </c:pt>
                <c:pt idx="3">
                  <c:v>7177017.2277350761</c:v>
                </c:pt>
                <c:pt idx="4">
                  <c:v>8023988.940059497</c:v>
                </c:pt>
                <c:pt idx="5">
                  <c:v>10030319.498270847</c:v>
                </c:pt>
                <c:pt idx="6">
                  <c:v>10916231.706102189</c:v>
                </c:pt>
                <c:pt idx="7">
                  <c:v>11545044.670888448</c:v>
                </c:pt>
                <c:pt idx="8">
                  <c:v>12266562.264344603</c:v>
                </c:pt>
                <c:pt idx="9">
                  <c:v>14460727.218682816</c:v>
                </c:pt>
                <c:pt idx="10">
                  <c:v>16322593.455811569</c:v>
                </c:pt>
                <c:pt idx="11">
                  <c:v>19508515.22745445</c:v>
                </c:pt>
                <c:pt idx="12">
                  <c:v>22650240.989003867</c:v>
                </c:pt>
                <c:pt idx="13">
                  <c:v>24165913.669735208</c:v>
                </c:pt>
                <c:pt idx="14">
                  <c:v>21574409.598739114</c:v>
                </c:pt>
                <c:pt idx="15">
                  <c:v>23973099.146427713</c:v>
                </c:pt>
                <c:pt idx="16">
                  <c:v>25509231.735168155</c:v>
                </c:pt>
                <c:pt idx="17">
                  <c:v>25074610.56438553</c:v>
                </c:pt>
                <c:pt idx="18">
                  <c:v>26103420.308345269</c:v>
                </c:pt>
                <c:pt idx="19">
                  <c:v>28504356.476213474</c:v>
                </c:pt>
                <c:pt idx="20">
                  <c:v>30603810</c:v>
                </c:pt>
                <c:pt idx="21">
                  <c:v>31768035</c:v>
                </c:pt>
                <c:pt idx="22">
                  <c:v>33825156.612403035</c:v>
                </c:pt>
                <c:pt idx="23">
                  <c:v>35529222.909276947</c:v>
                </c:pt>
                <c:pt idx="24">
                  <c:v>37584844.262058362</c:v>
                </c:pt>
                <c:pt idx="25">
                  <c:v>38363967.771370888</c:v>
                </c:pt>
                <c:pt idx="26">
                  <c:v>40408034.386508942</c:v>
                </c:pt>
                <c:pt idx="27">
                  <c:v>42063899.613363266</c:v>
                </c:pt>
                <c:pt idx="28">
                  <c:v>43719764.84021759</c:v>
                </c:pt>
                <c:pt idx="29">
                  <c:v>45375630.067071915</c:v>
                </c:pt>
                <c:pt idx="30">
                  <c:v>47031495.293926239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A09-4425-8309-BA7475BCD6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5782623"/>
        <c:axId val="205783039"/>
      </c:lineChart>
      <c:lineChart>
        <c:grouping val="standard"/>
        <c:varyColors val="0"/>
        <c:ser>
          <c:idx val="1"/>
          <c:order val="1"/>
          <c:tx>
            <c:strRef>
              <c:f>Peremszámok!$AP$3</c:f>
              <c:strCache>
                <c:ptCount val="1"/>
                <c:pt idx="0">
                  <c:v>Folyó árak az előző évi árak %-ban (ptpt-1)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Peremszámok!$AP$5:$AP$35</c:f>
              <c:numCache>
                <c:formatCode>#\ ##0.0000</c:formatCode>
                <c:ptCount val="31"/>
                <c:pt idx="1">
                  <c:v>1.1946989843324469</c:v>
                </c:pt>
                <c:pt idx="2">
                  <c:v>1.1558494725498132</c:v>
                </c:pt>
                <c:pt idx="3">
                  <c:v>1.1309634688808228</c:v>
                </c:pt>
                <c:pt idx="4">
                  <c:v>1.0478752936428477</c:v>
                </c:pt>
                <c:pt idx="5">
                  <c:v>1.1004934825368753</c:v>
                </c:pt>
                <c:pt idx="6">
                  <c:v>1.0304573056925022</c:v>
                </c:pt>
                <c:pt idx="7">
                  <c:v>0.95928159490610121</c:v>
                </c:pt>
                <c:pt idx="8">
                  <c:v>1.0009038953301466</c:v>
                </c:pt>
                <c:pt idx="9">
                  <c:v>0.98952725892210269</c:v>
                </c:pt>
                <c:pt idx="10">
                  <c:v>0.99526250580939657</c:v>
                </c:pt>
                <c:pt idx="11">
                  <c:v>1.0639638087827699</c:v>
                </c:pt>
                <c:pt idx="12">
                  <c:v>0.96055351060435001</c:v>
                </c:pt>
                <c:pt idx="13">
                  <c:v>1.0095466566301956</c:v>
                </c:pt>
                <c:pt idx="14">
                  <c:v>1.0219042732281127</c:v>
                </c:pt>
                <c:pt idx="15">
                  <c:v>1.019154086881211</c:v>
                </c:pt>
                <c:pt idx="16">
                  <c:v>1.035587668691734</c:v>
                </c:pt>
                <c:pt idx="17">
                  <c:v>1.0312939854247156</c:v>
                </c:pt>
                <c:pt idx="18">
                  <c:v>0.9999978398283651</c:v>
                </c:pt>
                <c:pt idx="19">
                  <c:v>1.0096216555569395</c:v>
                </c:pt>
                <c:pt idx="20">
                  <c:v>0.99733240277944746</c:v>
                </c:pt>
                <c:pt idx="21">
                  <c:v>0.98477211448551982</c:v>
                </c:pt>
                <c:pt idx="22">
                  <c:v>1.0130479757908653</c:v>
                </c:pt>
                <c:pt idx="23">
                  <c:v>1.0259610509471468</c:v>
                </c:pt>
                <c:pt idx="24">
                  <c:v>1.0151279478838811</c:v>
                </c:pt>
                <c:pt idx="25">
                  <c:v>1.0047624044215371</c:v>
                </c:pt>
                <c:pt idx="26">
                  <c:v>1.0209470410742467</c:v>
                </c:pt>
                <c:pt idx="27">
                  <c:v>1.0249793434617276</c:v>
                </c:pt>
                <c:pt idx="28">
                  <c:v>1.0290116458492085</c:v>
                </c:pt>
                <c:pt idx="29">
                  <c:v>1.0330439482366893</c:v>
                </c:pt>
                <c:pt idx="30">
                  <c:v>1.0370762506241684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A09-4425-8309-BA7475BCD6E6}"/>
            </c:ext>
          </c:extLst>
        </c:ser>
        <c:ser>
          <c:idx val="2"/>
          <c:order val="2"/>
          <c:tx>
            <c:strRef>
              <c:f>Peremszámok!$AQ$3</c:f>
              <c:strCache>
                <c:ptCount val="1"/>
                <c:pt idx="0">
                  <c:v>Folyó árak a 2015 évi árak %-ban (ptp14)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Peremszámok!$AQ$5:$AQ$35</c:f>
              <c:numCache>
                <c:formatCode>#\ ##0.0000</c:formatCode>
                <c:ptCount val="31"/>
                <c:pt idx="0">
                  <c:v>0.49313836451958998</c:v>
                </c:pt>
                <c:pt idx="1">
                  <c:v>0.58915190322691813</c:v>
                </c:pt>
                <c:pt idx="2">
                  <c:v>0.68097091659655196</c:v>
                </c:pt>
                <c:pt idx="3">
                  <c:v>0.7701532300409899</c:v>
                </c:pt>
                <c:pt idx="4">
                  <c:v>0.80702454207918994</c:v>
                </c:pt>
                <c:pt idx="5">
                  <c:v>0.88812524880545474</c:v>
                </c:pt>
                <c:pt idx="6">
                  <c:v>0.915175151001552</c:v>
                </c:pt>
                <c:pt idx="7">
                  <c:v>0.87791067847120086</c:v>
                </c:pt>
                <c:pt idx="8">
                  <c:v>0.87870421783375674</c:v>
                </c:pt>
                <c:pt idx="9">
                  <c:v>0.8695017760763275</c:v>
                </c:pt>
                <c:pt idx="10">
                  <c:v>0.86538251646344655</c:v>
                </c:pt>
                <c:pt idx="11">
                  <c:v>0.92073567827046665</c:v>
                </c:pt>
                <c:pt idx="12">
                  <c:v>0.88441588810137406</c:v>
                </c:pt>
                <c:pt idx="13">
                  <c:v>0.89285910290336734</c:v>
                </c:pt>
                <c:pt idx="14">
                  <c:v>0.91241653264757028</c:v>
                </c:pt>
                <c:pt idx="15">
                  <c:v>0.92989303818575519</c:v>
                </c:pt>
                <c:pt idx="16">
                  <c:v>0.96298576354745979</c:v>
                </c:pt>
                <c:pt idx="17">
                  <c:v>0.99312142599612263</c:v>
                </c:pt>
                <c:pt idx="18">
                  <c:v>0.99311928068338817</c:v>
                </c:pt>
                <c:pt idx="19">
                  <c:v>1.0026747323290792</c:v>
                </c:pt>
                <c:pt idx="20">
                  <c:v>1</c:v>
                </c:pt>
                <c:pt idx="21">
                  <c:v>0.98477211448551982</c:v>
                </c:pt>
                <c:pt idx="22">
                  <c:v>0.9976213971948461</c:v>
                </c:pt>
                <c:pt idx="23">
                  <c:v>1.0235206971133852</c:v>
                </c:pt>
                <c:pt idx="24">
                  <c:v>1.0390044648773902</c:v>
                </c:pt>
                <c:pt idx="25">
                  <c:v>1.0439526243349191</c:v>
                </c:pt>
                <c:pt idx="26">
                  <c:v>1.0658203428364303</c:v>
                </c:pt>
                <c:pt idx="27">
                  <c:v>1.0924438352486379</c:v>
                </c:pt>
                <c:pt idx="28">
                  <c:v>1.1241374289070223</c:v>
                </c:pt>
                <c:pt idx="29">
                  <c:v>1.1612833679187509</c:v>
                </c:pt>
                <c:pt idx="30">
                  <c:v>1.2043394011133848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A09-4425-8309-BA7475BCD6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4747599"/>
        <c:axId val="194745935"/>
      </c:lineChart>
      <c:catAx>
        <c:axId val="205782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205783039"/>
        <c:crosses val="autoZero"/>
        <c:auto val="1"/>
        <c:lblAlgn val="ctr"/>
        <c:lblOffset val="100"/>
        <c:noMultiLvlLbl val="0"/>
      </c:catAx>
      <c:valAx>
        <c:axId val="2057830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205782623"/>
        <c:crosses val="autoZero"/>
        <c:crossBetween val="between"/>
      </c:valAx>
      <c:valAx>
        <c:axId val="194745935"/>
        <c:scaling>
          <c:orientation val="minMax"/>
        </c:scaling>
        <c:delete val="0"/>
        <c:axPos val="r"/>
        <c:numFmt formatCode="#\ ##0.00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94747599"/>
        <c:crosses val="max"/>
        <c:crossBetween val="between"/>
      </c:valAx>
      <c:catAx>
        <c:axId val="19474759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474593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Peremszámok!$AT$2</c:f>
          <c:strCache>
            <c:ptCount val="1"/>
            <c:pt idx="0">
              <c:v>Import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Peremszámok!$AT$3</c:f>
              <c:strCache>
                <c:ptCount val="1"/>
                <c:pt idx="0">
                  <c:v>Folyó ár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Peremszámok!$AT$5:$AT$35</c:f>
              <c:numCache>
                <c:formatCode>#,##0</c:formatCode>
                <c:ptCount val="31"/>
                <c:pt idx="0">
                  <c:v>2287681</c:v>
                </c:pt>
                <c:pt idx="1">
                  <c:v>2949305</c:v>
                </c:pt>
                <c:pt idx="2">
                  <c:v>4147234</c:v>
                </c:pt>
                <c:pt idx="3">
                  <c:v>5691306</c:v>
                </c:pt>
                <c:pt idx="4">
                  <c:v>6794246</c:v>
                </c:pt>
                <c:pt idx="5">
                  <c:v>9399947</c:v>
                </c:pt>
                <c:pt idx="6">
                  <c:v>10188973</c:v>
                </c:pt>
                <c:pt idx="7">
                  <c:v>10492243</c:v>
                </c:pt>
                <c:pt idx="8">
                  <c:v>11532525</c:v>
                </c:pt>
                <c:pt idx="9">
                  <c:v>13408069</c:v>
                </c:pt>
                <c:pt idx="10">
                  <c:v>14645704</c:v>
                </c:pt>
                <c:pt idx="11">
                  <c:v>18236881</c:v>
                </c:pt>
                <c:pt idx="12">
                  <c:v>19894038</c:v>
                </c:pt>
                <c:pt idx="13">
                  <c:v>21479830</c:v>
                </c:pt>
                <c:pt idx="14">
                  <c:v>18618271</c:v>
                </c:pt>
                <c:pt idx="15">
                  <c:v>20848116</c:v>
                </c:pt>
                <c:pt idx="16">
                  <c:v>22829504</c:v>
                </c:pt>
                <c:pt idx="17">
                  <c:v>22947969</c:v>
                </c:pt>
                <c:pt idx="18">
                  <c:v>23806021</c:v>
                </c:pt>
                <c:pt idx="19">
                  <c:v>26505771</c:v>
                </c:pt>
                <c:pt idx="20">
                  <c:v>27825336</c:v>
                </c:pt>
                <c:pt idx="21">
                  <c:v>28144061</c:v>
                </c:pt>
                <c:pt idx="22">
                  <c:v>31067035</c:v>
                </c:pt>
                <c:pt idx="23">
                  <c:v>34456377</c:v>
                </c:pt>
                <c:pt idx="24">
                  <c:v>37569035</c:v>
                </c:pt>
                <c:pt idx="25">
                  <c:v>37632383.318374336</c:v>
                </c:pt>
                <c:pt idx="26">
                  <c:v>41702898.16185309</c:v>
                </c:pt>
                <c:pt idx="27">
                  <c:v>45238073.996217601</c:v>
                </c:pt>
                <c:pt idx="28">
                  <c:v>49309570.416666076</c:v>
                </c:pt>
                <c:pt idx="29">
                  <c:v>54028997.959075645</c:v>
                </c:pt>
                <c:pt idx="30">
                  <c:v>59534982.144964725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C1-4F2B-BCAA-DDCBD3F9BCE0}"/>
            </c:ext>
          </c:extLst>
        </c:ser>
        <c:ser>
          <c:idx val="3"/>
          <c:order val="3"/>
          <c:tx>
            <c:strRef>
              <c:f>Peremszámok!$AX$3</c:f>
              <c:strCache>
                <c:ptCount val="1"/>
                <c:pt idx="0">
                  <c:v>2015 évi ár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Peremszámok!$AX$5:$AX$35</c:f>
              <c:numCache>
                <c:formatCode>#,##0</c:formatCode>
                <c:ptCount val="31"/>
                <c:pt idx="0">
                  <c:v>5166522.5955478437</c:v>
                </c:pt>
                <c:pt idx="1">
                  <c:v>5420871.2196011804</c:v>
                </c:pt>
                <c:pt idx="2">
                  <c:v>6696160.1326242723</c:v>
                </c:pt>
                <c:pt idx="3">
                  <c:v>8467001.3670271076</c:v>
                </c:pt>
                <c:pt idx="4">
                  <c:v>9560029.1347809844</c:v>
                </c:pt>
                <c:pt idx="5">
                  <c:v>11525679.881697003</c:v>
                </c:pt>
                <c:pt idx="6">
                  <c:v>11905344.06163504</c:v>
                </c:pt>
                <c:pt idx="7">
                  <c:v>13096485.532591999</c:v>
                </c:pt>
                <c:pt idx="8">
                  <c:v>14397958.550886024</c:v>
                </c:pt>
                <c:pt idx="9">
                  <c:v>16883336.420614883</c:v>
                </c:pt>
                <c:pt idx="10">
                  <c:v>17899865.324991141</c:v>
                </c:pt>
                <c:pt idx="11">
                  <c:v>20420640.251129873</c:v>
                </c:pt>
                <c:pt idx="12">
                  <c:v>23082228.181138981</c:v>
                </c:pt>
                <c:pt idx="13">
                  <c:v>24443288.622358669</c:v>
                </c:pt>
                <c:pt idx="14">
                  <c:v>20541871.057689816</c:v>
                </c:pt>
                <c:pt idx="15">
                  <c:v>22564824.785274278</c:v>
                </c:pt>
                <c:pt idx="16">
                  <c:v>23453814.6727392</c:v>
                </c:pt>
                <c:pt idx="17">
                  <c:v>22571437.224436823</c:v>
                </c:pt>
                <c:pt idx="18">
                  <c:v>23589088.584573925</c:v>
                </c:pt>
                <c:pt idx="19">
                  <c:v>26264118.13451194</c:v>
                </c:pt>
                <c:pt idx="20">
                  <c:v>27825336</c:v>
                </c:pt>
                <c:pt idx="21">
                  <c:v>28769162</c:v>
                </c:pt>
                <c:pt idx="22">
                  <c:v>31202680.823570102</c:v>
                </c:pt>
                <c:pt idx="23">
                  <c:v>33365593.581296429</c:v>
                </c:pt>
                <c:pt idx="24">
                  <c:v>35815623.785505794</c:v>
                </c:pt>
                <c:pt idx="25">
                  <c:v>35838744.608171821</c:v>
                </c:pt>
                <c:pt idx="26">
                  <c:v>38473124.248601198</c:v>
                </c:pt>
                <c:pt idx="27">
                  <c:v>40283676.853033066</c:v>
                </c:pt>
                <c:pt idx="28">
                  <c:v>42094229.457464457</c:v>
                </c:pt>
                <c:pt idx="29">
                  <c:v>43904782.061896086</c:v>
                </c:pt>
                <c:pt idx="30">
                  <c:v>45715334.666327715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C1-4F2B-BCAA-DDCBD3F9BC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5998223"/>
        <c:axId val="435998639"/>
      </c:lineChart>
      <c:lineChart>
        <c:grouping val="standard"/>
        <c:varyColors val="0"/>
        <c:ser>
          <c:idx val="1"/>
          <c:order val="1"/>
          <c:tx>
            <c:strRef>
              <c:f>Peremszámok!$AV$3</c:f>
              <c:strCache>
                <c:ptCount val="1"/>
                <c:pt idx="0">
                  <c:v>Folyó árak az előző évi árak %-ban (ptpt-1)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Peremszámok!$AV$5:$AV$35</c:f>
              <c:numCache>
                <c:formatCode>#\ ##0.0000</c:formatCode>
                <c:ptCount val="31"/>
                <c:pt idx="1">
                  <c:v>1.2043563872881466</c:v>
                </c:pt>
                <c:pt idx="2">
                  <c:v>1.1337813891004567</c:v>
                </c:pt>
                <c:pt idx="3">
                  <c:v>1.1195781280306754</c:v>
                </c:pt>
                <c:pt idx="4">
                  <c:v>1.0540094345476705</c:v>
                </c:pt>
                <c:pt idx="5">
                  <c:v>1.123162513690114</c:v>
                </c:pt>
                <c:pt idx="6">
                  <c:v>1.0240386910561858</c:v>
                </c:pt>
                <c:pt idx="7">
                  <c:v>0.94753580021076134</c:v>
                </c:pt>
                <c:pt idx="8">
                  <c:v>1.0043794594416646</c:v>
                </c:pt>
                <c:pt idx="9">
                  <c:v>0.99102794672601768</c:v>
                </c:pt>
                <c:pt idx="10">
                  <c:v>1.0126145169099878</c:v>
                </c:pt>
                <c:pt idx="11">
                  <c:v>1.0783421225757248</c:v>
                </c:pt>
                <c:pt idx="12">
                  <c:v>0.95650120278810868</c:v>
                </c:pt>
                <c:pt idx="13">
                  <c:v>1.0185410554719962</c:v>
                </c:pt>
                <c:pt idx="14">
                  <c:v>1.0142406178660859</c:v>
                </c:pt>
                <c:pt idx="15">
                  <c:v>1.0188278814029956</c:v>
                </c:pt>
                <c:pt idx="16">
                  <c:v>1.0501108804108392</c:v>
                </c:pt>
                <c:pt idx="17">
                  <c:v>1.0413508700541836</c:v>
                </c:pt>
                <c:pt idx="18">
                  <c:v>0.99485393596315663</c:v>
                </c:pt>
                <c:pt idx="19">
                  <c:v>1.003426922207961</c:v>
                </c:pt>
                <c:pt idx="20">
                  <c:v>0.9902733025221182</c:v>
                </c:pt>
                <c:pt idx="21">
                  <c:v>0.97827183843589183</c:v>
                </c:pt>
                <c:pt idx="22">
                  <c:v>1.0175138810392772</c:v>
                </c:pt>
                <c:pt idx="23">
                  <c:v>1.0366484117935457</c:v>
                </c:pt>
                <c:pt idx="24">
                  <c:v>1.0141215942778858</c:v>
                </c:pt>
                <c:pt idx="25">
                  <c:v>1.0039173277511457</c:v>
                </c:pt>
                <c:pt idx="26">
                  <c:v>1.0262814517458487</c:v>
                </c:pt>
                <c:pt idx="27">
                  <c:v>1.0318501353008589</c:v>
                </c:pt>
                <c:pt idx="28">
                  <c:v>1.0374188188558708</c:v>
                </c:pt>
                <c:pt idx="29">
                  <c:v>1.0429875024108828</c:v>
                </c:pt>
                <c:pt idx="30">
                  <c:v>1.048556185965893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9C1-4F2B-BCAA-DDCBD3F9BCE0}"/>
            </c:ext>
          </c:extLst>
        </c:ser>
        <c:ser>
          <c:idx val="2"/>
          <c:order val="2"/>
          <c:tx>
            <c:strRef>
              <c:f>Peremszámok!$AW$3</c:f>
              <c:strCache>
                <c:ptCount val="1"/>
                <c:pt idx="0">
                  <c:v>Folyó árak a 2015 évi árak %-ban (ptp14)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Peremszámok!$AW$5:$AW$35</c:f>
              <c:numCache>
                <c:formatCode>#\ ##0.0000</c:formatCode>
                <c:ptCount val="31"/>
                <c:pt idx="0">
                  <c:v>0.48143698441073807</c:v>
                </c:pt>
                <c:pt idx="1">
                  <c:v>0.57982170725181625</c:v>
                </c:pt>
                <c:pt idx="2">
                  <c:v>0.65739106067856257</c:v>
                </c:pt>
                <c:pt idx="3">
                  <c:v>0.73600065309860518</c:v>
                </c:pt>
                <c:pt idx="4">
                  <c:v>0.77575163219917698</c:v>
                </c:pt>
                <c:pt idx="5">
                  <c:v>0.87129515322003637</c:v>
                </c:pt>
                <c:pt idx="6">
                  <c:v>0.89223994822704489</c:v>
                </c:pt>
                <c:pt idx="7">
                  <c:v>0.84542929332332128</c:v>
                </c:pt>
                <c:pt idx="8">
                  <c:v>0.84913181662422599</c:v>
                </c:pt>
                <c:pt idx="9">
                  <c:v>0.84151336072884009</c:v>
                </c:pt>
                <c:pt idx="10">
                  <c:v>0.85212864524773468</c:v>
                </c:pt>
                <c:pt idx="11">
                  <c:v>0.9188862120240191</c:v>
                </c:pt>
                <c:pt idx="12">
                  <c:v>0.8789157670263833</c:v>
                </c:pt>
                <c:pt idx="13">
                  <c:v>0.89521179301803155</c:v>
                </c:pt>
                <c:pt idx="14">
                  <c:v>0.9079601620716149</c:v>
                </c:pt>
                <c:pt idx="15">
                  <c:v>0.92505512832174397</c:v>
                </c:pt>
                <c:pt idx="16">
                  <c:v>0.9714104552305084</c:v>
                </c:pt>
                <c:pt idx="17">
                  <c:v>1.0115791227340205</c:v>
                </c:pt>
                <c:pt idx="18">
                  <c:v>1.0063734717900974</c:v>
                </c:pt>
                <c:pt idx="19">
                  <c:v>1.0098222353900776</c:v>
                </c:pt>
                <c:pt idx="20">
                  <c:v>1</c:v>
                </c:pt>
                <c:pt idx="21">
                  <c:v>0.97827183843589183</c:v>
                </c:pt>
                <c:pt idx="22">
                  <c:v>0.99540517503833303</c:v>
                </c:pt>
                <c:pt idx="23">
                  <c:v>1.0318851937945643</c:v>
                </c:pt>
                <c:pt idx="24">
                  <c:v>1.0464570578426888</c:v>
                </c:pt>
                <c:pt idx="25">
                  <c:v>1.0505563731157583</c:v>
                </c:pt>
                <c:pt idx="26">
                  <c:v>1.078166519742094</c:v>
                </c:pt>
                <c:pt idx="27">
                  <c:v>1.1125062692727359</c:v>
                </c:pt>
                <c:pt idx="28">
                  <c:v>1.1541349398386731</c:v>
                </c:pt>
                <c:pt idx="29">
                  <c:v>1.2037483183474722</c:v>
                </c:pt>
                <c:pt idx="30">
                  <c:v>1.262197745549283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9C1-4F2B-BCAA-DDCBD3F9BC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8694495"/>
        <c:axId val="438691583"/>
      </c:lineChart>
      <c:catAx>
        <c:axId val="435998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435998639"/>
        <c:crosses val="autoZero"/>
        <c:auto val="1"/>
        <c:lblAlgn val="ctr"/>
        <c:lblOffset val="100"/>
        <c:noMultiLvlLbl val="0"/>
      </c:catAx>
      <c:valAx>
        <c:axId val="4359986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435998223"/>
        <c:crosses val="autoZero"/>
        <c:crossBetween val="between"/>
      </c:valAx>
      <c:valAx>
        <c:axId val="438691583"/>
        <c:scaling>
          <c:orientation val="minMax"/>
        </c:scaling>
        <c:delete val="0"/>
        <c:axPos val="r"/>
        <c:numFmt formatCode="#\ ##0.00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438694495"/>
        <c:crosses val="max"/>
        <c:crossBetween val="between"/>
      </c:valAx>
      <c:catAx>
        <c:axId val="43869449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869158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Peremszámok!$O$2</c:f>
          <c:strCache>
            <c:ptCount val="1"/>
            <c:pt idx="0">
              <c:v>Termékadók és terméktámogatások egyenlege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Peremszámok!$O$3</c:f>
              <c:strCache>
                <c:ptCount val="1"/>
                <c:pt idx="0">
                  <c:v>Folyó ár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Peremszámok!$O$5:$O$35</c:f>
              <c:numCache>
                <c:formatCode>#,##0</c:formatCode>
                <c:ptCount val="31"/>
                <c:pt idx="0">
                  <c:v>893761</c:v>
                </c:pt>
                <c:pt idx="1">
                  <c:v>1046067</c:v>
                </c:pt>
                <c:pt idx="2">
                  <c:v>1204714</c:v>
                </c:pt>
                <c:pt idx="3">
                  <c:v>1433241</c:v>
                </c:pt>
                <c:pt idx="4">
                  <c:v>1653193</c:v>
                </c:pt>
                <c:pt idx="5">
                  <c:v>1966294</c:v>
                </c:pt>
                <c:pt idx="6">
                  <c:v>2090844</c:v>
                </c:pt>
                <c:pt idx="7">
                  <c:v>2299370</c:v>
                </c:pt>
                <c:pt idx="8">
                  <c:v>2687674</c:v>
                </c:pt>
                <c:pt idx="9">
                  <c:v>3038820</c:v>
                </c:pt>
                <c:pt idx="10">
                  <c:v>3121686</c:v>
                </c:pt>
                <c:pt idx="11">
                  <c:v>3204596</c:v>
                </c:pt>
                <c:pt idx="12">
                  <c:v>3599535</c:v>
                </c:pt>
                <c:pt idx="13">
                  <c:v>3903775</c:v>
                </c:pt>
                <c:pt idx="14">
                  <c:v>3972632</c:v>
                </c:pt>
                <c:pt idx="15">
                  <c:v>4152310</c:v>
                </c:pt>
                <c:pt idx="16">
                  <c:v>4253042</c:v>
                </c:pt>
                <c:pt idx="17">
                  <c:v>4587216</c:v>
                </c:pt>
                <c:pt idx="18">
                  <c:v>4719774</c:v>
                </c:pt>
                <c:pt idx="19">
                  <c:v>5085994</c:v>
                </c:pt>
                <c:pt idx="20">
                  <c:v>5505448</c:v>
                </c:pt>
                <c:pt idx="21">
                  <c:v>5492305</c:v>
                </c:pt>
                <c:pt idx="22">
                  <c:v>5947981</c:v>
                </c:pt>
                <c:pt idx="23">
                  <c:v>6726388</c:v>
                </c:pt>
                <c:pt idx="24">
                  <c:v>7243771</c:v>
                </c:pt>
                <c:pt idx="25">
                  <c:v>7428680.3099197112</c:v>
                </c:pt>
                <c:pt idx="26">
                  <c:v>8241253.2007707804</c:v>
                </c:pt>
                <c:pt idx="27">
                  <c:v>8997701.4703225791</c:v>
                </c:pt>
                <c:pt idx="28">
                  <c:v>9871708.2460283637</c:v>
                </c:pt>
                <c:pt idx="29">
                  <c:v>10883715.282361962</c:v>
                </c:pt>
                <c:pt idx="30">
                  <c:v>12058320.411339968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5E-4C99-891E-83CAE3EA5724}"/>
            </c:ext>
          </c:extLst>
        </c:ser>
        <c:ser>
          <c:idx val="3"/>
          <c:order val="3"/>
          <c:tx>
            <c:strRef>
              <c:f>Peremszámok!$S$3</c:f>
              <c:strCache>
                <c:ptCount val="1"/>
                <c:pt idx="0">
                  <c:v>2015 évi ár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Peremszámok!$S$5:$S$35</c:f>
              <c:numCache>
                <c:formatCode>#,##0</c:formatCode>
                <c:ptCount val="31"/>
                <c:pt idx="0">
                  <c:v>3869381.5314058252</c:v>
                </c:pt>
                <c:pt idx="1">
                  <c:v>3637221.3953625858</c:v>
                </c:pt>
                <c:pt idx="2">
                  <c:v>3769498.267568849</c:v>
                </c:pt>
                <c:pt idx="3">
                  <c:v>3925071.1132377274</c:v>
                </c:pt>
                <c:pt idx="4">
                  <c:v>4079646.8734451979</c:v>
                </c:pt>
                <c:pt idx="5">
                  <c:v>4278492.1148088351</c:v>
                </c:pt>
                <c:pt idx="6">
                  <c:v>4414314.6996095404</c:v>
                </c:pt>
                <c:pt idx="7">
                  <c:v>4600589.0168490633</c:v>
                </c:pt>
                <c:pt idx="8">
                  <c:v>4746612.3279558048</c:v>
                </c:pt>
                <c:pt idx="9">
                  <c:v>4986034.9840506054</c:v>
                </c:pt>
                <c:pt idx="10">
                  <c:v>5218356.8840823099</c:v>
                </c:pt>
                <c:pt idx="11">
                  <c:v>5437374.8327298574</c:v>
                </c:pt>
                <c:pt idx="12">
                  <c:v>5470283.2036417797</c:v>
                </c:pt>
                <c:pt idx="13">
                  <c:v>5572296.8271182589</c:v>
                </c:pt>
                <c:pt idx="14">
                  <c:v>5218096.4947896376</c:v>
                </c:pt>
                <c:pt idx="15">
                  <c:v>5217778.8728605285</c:v>
                </c:pt>
                <c:pt idx="16">
                  <c:v>5292851.9592339657</c:v>
                </c:pt>
                <c:pt idx="17">
                  <c:v>5221928.3276281878</c:v>
                </c:pt>
                <c:pt idx="18">
                  <c:v>5149890.6206604429</c:v>
                </c:pt>
                <c:pt idx="19">
                  <c:v>5303315.9092646837</c:v>
                </c:pt>
                <c:pt idx="20">
                  <c:v>5505448</c:v>
                </c:pt>
                <c:pt idx="21">
                  <c:v>5598172.9999999963</c:v>
                </c:pt>
                <c:pt idx="22">
                  <c:v>5843160.0474234298</c:v>
                </c:pt>
                <c:pt idx="23">
                  <c:v>6095081.5426644795</c:v>
                </c:pt>
                <c:pt idx="24">
                  <c:v>6328822.5571197569</c:v>
                </c:pt>
                <c:pt idx="25">
                  <c:v>6231249.6860218048</c:v>
                </c:pt>
                <c:pt idx="26">
                  <c:v>6540943.6652092934</c:v>
                </c:pt>
                <c:pt idx="27">
                  <c:v>6714454.482257843</c:v>
                </c:pt>
                <c:pt idx="28">
                  <c:v>6887965.2993063927</c:v>
                </c:pt>
                <c:pt idx="29">
                  <c:v>7061476.1163554192</c:v>
                </c:pt>
                <c:pt idx="30">
                  <c:v>7234986.9334044456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F5E-4C99-891E-83CAE3EA57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2660864"/>
        <c:axId val="572669184"/>
      </c:lineChart>
      <c:lineChart>
        <c:grouping val="standard"/>
        <c:varyColors val="0"/>
        <c:ser>
          <c:idx val="1"/>
          <c:order val="1"/>
          <c:tx>
            <c:strRef>
              <c:f>Peremszámok!$Q$3</c:f>
              <c:strCache>
                <c:ptCount val="1"/>
                <c:pt idx="0">
                  <c:v>Folyó árak az előző évi árak %-ban (ptpt-1)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Peremszámok!$Q$5:$Q$35</c:f>
              <c:numCache>
                <c:formatCode>#\ ##0.0000</c:formatCode>
                <c:ptCount val="31"/>
                <c:pt idx="1">
                  <c:v>1.2590383777499079</c:v>
                </c:pt>
                <c:pt idx="2">
                  <c:v>1.1105043624145607</c:v>
                </c:pt>
                <c:pt idx="3">
                  <c:v>1.141915514054433</c:v>
                </c:pt>
                <c:pt idx="4">
                  <c:v>1.1075015257351832</c:v>
                </c:pt>
                <c:pt idx="5">
                  <c:v>1.1332277118620135</c:v>
                </c:pt>
                <c:pt idx="6">
                  <c:v>1.032067561784292</c:v>
                </c:pt>
                <c:pt idx="7">
                  <c:v>1.0566083687930226</c:v>
                </c:pt>
                <c:pt idx="8">
                  <c:v>1.1359295232532436</c:v>
                </c:pt>
                <c:pt idx="9">
                  <c:v>1.0759128186372309</c:v>
                </c:pt>
                <c:pt idx="10">
                  <c:v>0.98089697943208454</c:v>
                </c:pt>
                <c:pt idx="11">
                  <c:v>0.98485498525450876</c:v>
                </c:pt>
                <c:pt idx="12">
                  <c:v>1.1152762074966778</c:v>
                </c:pt>
                <c:pt idx="13">
                  <c:v>1.0628408181623392</c:v>
                </c:pt>
                <c:pt idx="14">
                  <c:v>1.0859389991815751</c:v>
                </c:pt>
                <c:pt idx="15">
                  <c:v>1.046918464704816</c:v>
                </c:pt>
                <c:pt idx="16">
                  <c:v>1.0102859059500335</c:v>
                </c:pt>
                <c:pt idx="17">
                  <c:v>1.0931661624882694</c:v>
                </c:pt>
                <c:pt idx="18">
                  <c:v>1.0448783455418751</c:v>
                </c:pt>
                <c:pt idx="19">
                  <c:v>1.0467758709438673</c:v>
                </c:pt>
                <c:pt idx="20">
                  <c:v>1.0427308727013491</c:v>
                </c:pt>
                <c:pt idx="21">
                  <c:v>0.9810888302308628</c:v>
                </c:pt>
                <c:pt idx="22">
                  <c:v>1.0375374141756881</c:v>
                </c:pt>
                <c:pt idx="23">
                  <c:v>1.0846052980380192</c:v>
                </c:pt>
                <c:pt idx="24">
                  <c:v>1.0371540246757109</c:v>
                </c:pt>
                <c:pt idx="25">
                  <c:v>1.0411407355655655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F5E-4C99-891E-83CAE3EA5724}"/>
            </c:ext>
          </c:extLst>
        </c:ser>
        <c:ser>
          <c:idx val="2"/>
          <c:order val="2"/>
          <c:tx>
            <c:strRef>
              <c:f>Peremszámok!$R$3</c:f>
              <c:strCache>
                <c:ptCount val="1"/>
                <c:pt idx="0">
                  <c:v>Folyó árak a 2015 évi árak %-ban (ptp14)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Peremszámok!$R$5:$R$35</c:f>
              <c:numCache>
                <c:formatCode>#\ ##0.0000</c:formatCode>
                <c:ptCount val="31"/>
                <c:pt idx="0">
                  <c:v>0.22835359379743128</c:v>
                </c:pt>
                <c:pt idx="1">
                  <c:v>0.2875059382880793</c:v>
                </c:pt>
                <c:pt idx="2">
                  <c:v>0.31927659868900354</c:v>
                </c:pt>
                <c:pt idx="3">
                  <c:v>0.36458690131750437</c:v>
                </c:pt>
                <c:pt idx="4">
                  <c:v>0.40378054947219877</c:v>
                </c:pt>
                <c:pt idx="5">
                  <c:v>0.45757530817276637</c:v>
                </c:pt>
                <c:pt idx="6">
                  <c:v>0.47224863263856304</c:v>
                </c:pt>
                <c:pt idx="7">
                  <c:v>0.49898185739696743</c:v>
                </c:pt>
                <c:pt idx="8">
                  <c:v>0.56680822338495518</c:v>
                </c:pt>
                <c:pt idx="9">
                  <c:v>0.60983623324886838</c:v>
                </c:pt>
                <c:pt idx="10">
                  <c:v>0.59818651914205512</c:v>
                </c:pt>
                <c:pt idx="11">
                  <c:v>0.58912697548909465</c:v>
                </c:pt>
                <c:pt idx="12">
                  <c:v>0.65703929895746571</c:v>
                </c:pt>
                <c:pt idx="13">
                  <c:v>0.69832818606876268</c:v>
                </c:pt>
                <c:pt idx="14">
                  <c:v>0.75834181147979685</c:v>
                </c:pt>
                <c:pt idx="15">
                  <c:v>0.79392204499589791</c:v>
                </c:pt>
                <c:pt idx="16">
                  <c:v>0.80208825248238402</c:v>
                </c:pt>
                <c:pt idx="17">
                  <c:v>0.8768157369430899</c:v>
                </c:pt>
                <c:pt idx="18">
                  <c:v>0.91616577656217568</c:v>
                </c:pt>
                <c:pt idx="19">
                  <c:v>0.95902022868983594</c:v>
                </c:pt>
                <c:pt idx="20">
                  <c:v>1</c:v>
                </c:pt>
                <c:pt idx="21">
                  <c:v>0.9810888302308628</c:v>
                </c:pt>
                <c:pt idx="22">
                  <c:v>1.0179163679943801</c:v>
                </c:pt>
                <c:pt idx="23">
                  <c:v>1.1040374856863227</c:v>
                </c:pt>
                <c:pt idx="24">
                  <c:v>1.1450569216724222</c:v>
                </c:pt>
                <c:pt idx="25">
                  <c:v>1.1921654056944679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F5E-4C99-891E-83CAE3EA57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2676672"/>
        <c:axId val="572681248"/>
      </c:lineChart>
      <c:catAx>
        <c:axId val="572660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572669184"/>
        <c:crosses val="autoZero"/>
        <c:auto val="1"/>
        <c:lblAlgn val="ctr"/>
        <c:lblOffset val="100"/>
        <c:noMultiLvlLbl val="0"/>
      </c:catAx>
      <c:valAx>
        <c:axId val="572669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572660864"/>
        <c:crosses val="autoZero"/>
        <c:crossBetween val="between"/>
      </c:valAx>
      <c:valAx>
        <c:axId val="572681248"/>
        <c:scaling>
          <c:orientation val="minMax"/>
        </c:scaling>
        <c:delete val="0"/>
        <c:axPos val="r"/>
        <c:numFmt formatCode="#\ ##0.00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572676672"/>
        <c:crosses val="max"/>
        <c:crossBetween val="between"/>
      </c:valAx>
      <c:catAx>
        <c:axId val="5726766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7268124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Peremszámok!$AY$2</c:f>
          <c:strCache>
            <c:ptCount val="1"/>
            <c:pt idx="0">
              <c:v>GDP felhasználás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>
        <c:manualLayout>
          <c:layoutTarget val="inner"/>
          <c:xMode val="edge"/>
          <c:yMode val="edge"/>
          <c:x val="0.16313077914730623"/>
          <c:y val="0.12463037634408602"/>
          <c:w val="0.7414359644973707"/>
          <c:h val="0.52295397299127933"/>
        </c:manualLayout>
      </c:layout>
      <c:lineChart>
        <c:grouping val="standard"/>
        <c:varyColors val="0"/>
        <c:ser>
          <c:idx val="0"/>
          <c:order val="0"/>
          <c:tx>
            <c:strRef>
              <c:f>Peremszámok!$AY$3</c:f>
              <c:strCache>
                <c:ptCount val="1"/>
                <c:pt idx="0">
                  <c:v>Folyó ár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Peremszámok!$AY$5:$AY$35</c:f>
              <c:numCache>
                <c:formatCode>#,##0</c:formatCode>
                <c:ptCount val="31"/>
                <c:pt idx="0">
                  <c:v>5836483</c:v>
                </c:pt>
                <c:pt idx="1">
                  <c:v>7122305</c:v>
                </c:pt>
                <c:pt idx="2">
                  <c:v>8834560</c:v>
                </c:pt>
                <c:pt idx="3">
                  <c:v>10442818</c:v>
                </c:pt>
                <c:pt idx="4">
                  <c:v>11637546</c:v>
                </c:pt>
                <c:pt idx="5">
                  <c:v>13324052</c:v>
                </c:pt>
                <c:pt idx="6">
                  <c:v>15398700</c:v>
                </c:pt>
                <c:pt idx="7">
                  <c:v>17433859</c:v>
                </c:pt>
                <c:pt idx="8">
                  <c:v>19133811</c:v>
                </c:pt>
                <c:pt idx="9">
                  <c:v>21077457</c:v>
                </c:pt>
                <c:pt idx="10">
                  <c:v>22549020</c:v>
                </c:pt>
                <c:pt idx="11">
                  <c:v>24316299</c:v>
                </c:pt>
                <c:pt idx="12">
                  <c:v>25701369</c:v>
                </c:pt>
                <c:pt idx="13">
                  <c:v>27217365</c:v>
                </c:pt>
                <c:pt idx="14">
                  <c:v>26458264</c:v>
                </c:pt>
                <c:pt idx="15">
                  <c:v>27431270</c:v>
                </c:pt>
                <c:pt idx="16">
                  <c:v>28501501</c:v>
                </c:pt>
                <c:pt idx="17">
                  <c:v>28920370</c:v>
                </c:pt>
                <c:pt idx="18">
                  <c:v>30290920</c:v>
                </c:pt>
                <c:pt idx="19">
                  <c:v>32742178</c:v>
                </c:pt>
                <c:pt idx="20">
                  <c:v>34937313</c:v>
                </c:pt>
                <c:pt idx="21">
                  <c:v>36167453</c:v>
                </c:pt>
                <c:pt idx="22">
                  <c:v>39233430</c:v>
                </c:pt>
                <c:pt idx="23">
                  <c:v>43347041</c:v>
                </c:pt>
                <c:pt idx="24">
                  <c:v>47513912</c:v>
                </c:pt>
                <c:pt idx="25">
                  <c:v>49332629.746379495</c:v>
                </c:pt>
                <c:pt idx="26">
                  <c:v>54837595.155492768</c:v>
                </c:pt>
                <c:pt idx="27">
                  <c:v>60113316.001776554</c:v>
                </c:pt>
                <c:pt idx="28">
                  <c:v>66188804.292860493</c:v>
                </c:pt>
                <c:pt idx="29">
                  <c:v>73203371.153320491</c:v>
                </c:pt>
                <c:pt idx="30">
                  <c:v>81324160.209064752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DC-4CC6-85C5-06446900BC0E}"/>
            </c:ext>
          </c:extLst>
        </c:ser>
        <c:ser>
          <c:idx val="3"/>
          <c:order val="3"/>
          <c:tx>
            <c:strRef>
              <c:f>Peremszámok!$BC$3</c:f>
              <c:strCache>
                <c:ptCount val="1"/>
                <c:pt idx="0">
                  <c:v>2015 évi ár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Peremszámok!$BC$5:$BC$35</c:f>
              <c:numCache>
                <c:formatCode>#,##0</c:formatCode>
                <c:ptCount val="31"/>
                <c:pt idx="0">
                  <c:v>22144887.080508646</c:v>
                </c:pt>
                <c:pt idx="1">
                  <c:v>22163137.267625999</c:v>
                </c:pt>
                <c:pt idx="2">
                  <c:v>22859752.534473255</c:v>
                </c:pt>
                <c:pt idx="3">
                  <c:v>23751283.297323663</c:v>
                </c:pt>
                <c:pt idx="4">
                  <c:v>24480692.165314879</c:v>
                </c:pt>
                <c:pt idx="5">
                  <c:v>25577229.308423001</c:v>
                </c:pt>
                <c:pt idx="6">
                  <c:v>26619268.899262823</c:v>
                </c:pt>
                <c:pt idx="7">
                  <c:v>27881363.864829801</c:v>
                </c:pt>
                <c:pt idx="8">
                  <c:v>29020184.615560126</c:v>
                </c:pt>
                <c:pt idx="9">
                  <c:v>30419786.100204267</c:v>
                </c:pt>
                <c:pt idx="10">
                  <c:v>31710687.409491982</c:v>
                </c:pt>
                <c:pt idx="11">
                  <c:v>32988949.443212621</c:v>
                </c:pt>
                <c:pt idx="12">
                  <c:v>33068841.792116594</c:v>
                </c:pt>
                <c:pt idx="13">
                  <c:v>33418806.014771301</c:v>
                </c:pt>
                <c:pt idx="14">
                  <c:v>31179895.140144512</c:v>
                </c:pt>
                <c:pt idx="15">
                  <c:v>31529789.278556813</c:v>
                </c:pt>
                <c:pt idx="16">
                  <c:v>32140554.974724524</c:v>
                </c:pt>
                <c:pt idx="17">
                  <c:v>31696815.394081239</c:v>
                </c:pt>
                <c:pt idx="18">
                  <c:v>32286614.122413874</c:v>
                </c:pt>
                <c:pt idx="19">
                  <c:v>33651999.038139202</c:v>
                </c:pt>
                <c:pt idx="20">
                  <c:v>34937313</c:v>
                </c:pt>
                <c:pt idx="21">
                  <c:v>35684970</c:v>
                </c:pt>
                <c:pt idx="22">
                  <c:v>37225412.262049809</c:v>
                </c:pt>
                <c:pt idx="23">
                  <c:v>39237555.011911556</c:v>
                </c:pt>
                <c:pt idx="24">
                  <c:v>41033924.925527774</c:v>
                </c:pt>
                <c:pt idx="25">
                  <c:v>40753814.367990971</c:v>
                </c:pt>
                <c:pt idx="26">
                  <c:v>42859649.697886944</c:v>
                </c:pt>
                <c:pt idx="27">
                  <c:v>44206550.108355045</c:v>
                </c:pt>
                <c:pt idx="28">
                  <c:v>45553450.518823624</c:v>
                </c:pt>
                <c:pt idx="29">
                  <c:v>46900350.929292202</c:v>
                </c:pt>
                <c:pt idx="30">
                  <c:v>48247251.33976078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DC-4CC6-85C5-06446900BC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6042016"/>
        <c:axId val="536042848"/>
      </c:lineChart>
      <c:lineChart>
        <c:grouping val="standard"/>
        <c:varyColors val="0"/>
        <c:ser>
          <c:idx val="1"/>
          <c:order val="1"/>
          <c:tx>
            <c:strRef>
              <c:f>Peremszámok!$BA$3</c:f>
              <c:strCache>
                <c:ptCount val="1"/>
                <c:pt idx="0">
                  <c:v>Folyó árak az előző évi árak %-ban (ptpt-1)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Peremszámok!$BA$5:$BA$35</c:f>
              <c:numCache>
                <c:formatCode>#\ ##0.0000</c:formatCode>
                <c:ptCount val="31"/>
                <c:pt idx="1">
                  <c:v>1.2193028153184577</c:v>
                </c:pt>
                <c:pt idx="2">
                  <c:v>1.2026079447134888</c:v>
                </c:pt>
                <c:pt idx="3">
                  <c:v>1.1376724187143239</c:v>
                </c:pt>
                <c:pt idx="4">
                  <c:v>1.0812026177310026</c:v>
                </c:pt>
                <c:pt idx="5">
                  <c:v>1.0958348404704603</c:v>
                </c:pt>
                <c:pt idx="6">
                  <c:v>1.1104656085007116</c:v>
                </c:pt>
                <c:pt idx="7">
                  <c:v>1.0809150912442564</c:v>
                </c:pt>
                <c:pt idx="8">
                  <c:v>1.0544398091276461</c:v>
                </c:pt>
                <c:pt idx="9">
                  <c:v>1.050898439601474</c:v>
                </c:pt>
                <c:pt idx="10">
                  <c:v>1.0262660429307335</c:v>
                </c:pt>
                <c:pt idx="11">
                  <c:v>1.0365899032883232</c:v>
                </c:pt>
                <c:pt idx="12">
                  <c:v>1.0544070060095536</c:v>
                </c:pt>
                <c:pt idx="13">
                  <c:v>1.0478952591585748</c:v>
                </c:pt>
                <c:pt idx="14">
                  <c:v>1.0419132167960028</c:v>
                </c:pt>
                <c:pt idx="15">
                  <c:v>1.0252697674576801</c:v>
                </c:pt>
                <c:pt idx="16">
                  <c:v>1.0192706390451003</c:v>
                </c:pt>
                <c:pt idx="17">
                  <c:v>1.0289016263446393</c:v>
                </c:pt>
                <c:pt idx="18">
                  <c:v>1.028257169593054</c:v>
                </c:pt>
                <c:pt idx="19">
                  <c:v>1.0370668126867721</c:v>
                </c:pt>
                <c:pt idx="20">
                  <c:v>1.0277874317994118</c:v>
                </c:pt>
                <c:pt idx="21">
                  <c:v>1.0135206222675821</c:v>
                </c:pt>
                <c:pt idx="22">
                  <c:v>1.0398822668872201</c:v>
                </c:pt>
                <c:pt idx="23">
                  <c:v>1.0481917977104671</c:v>
                </c:pt>
                <c:pt idx="24">
                  <c:v>1.0481422089440531</c:v>
                </c:pt>
                <c:pt idx="25">
                  <c:v>1.0452861764030663</c:v>
                </c:pt>
                <c:pt idx="26">
                  <c:v>1.057101885389061</c:v>
                </c:pt>
                <c:pt idx="27">
                  <c:v>1.0628066857853735</c:v>
                </c:pt>
                <c:pt idx="28">
                  <c:v>1.068511486181686</c:v>
                </c:pt>
                <c:pt idx="29">
                  <c:v>1.0742162865779985</c:v>
                </c:pt>
                <c:pt idx="30">
                  <c:v>1.079921086974311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EDC-4CC6-85C5-06446900BC0E}"/>
            </c:ext>
          </c:extLst>
        </c:ser>
        <c:ser>
          <c:idx val="2"/>
          <c:order val="2"/>
          <c:tx>
            <c:strRef>
              <c:f>Peremszámok!$BB$3</c:f>
              <c:strCache>
                <c:ptCount val="1"/>
                <c:pt idx="0">
                  <c:v>Folyó árak a 2015 évi árak %-ban (ptp14)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Peremszámok!$B$5:$B$35</c:f>
              <c:numCache>
                <c:formatCode>General</c:formatCode>
                <c:ptCount val="3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  <c:pt idx="29">
                  <c:v>2024</c:v>
                </c:pt>
                <c:pt idx="30">
                  <c:v>2025</c:v>
                </c:pt>
              </c:numCache>
            </c:numRef>
          </c:cat>
          <c:val>
            <c:numRef>
              <c:f>Peremszámok!$BB$5:$BB$35</c:f>
              <c:numCache>
                <c:formatCode>#\ ##0.0000</c:formatCode>
                <c:ptCount val="31"/>
                <c:pt idx="0">
                  <c:v>0.26355894156430903</c:v>
                </c:pt>
                <c:pt idx="1">
                  <c:v>0.32135815945171486</c:v>
                </c:pt>
                <c:pt idx="2">
                  <c:v>0.38646787565513641</c:v>
                </c:pt>
                <c:pt idx="3">
                  <c:v>0.43967384285196559</c:v>
                </c:pt>
                <c:pt idx="4">
                  <c:v>0.47537650983939467</c:v>
                </c:pt>
                <c:pt idx="5">
                  <c:v>0.52093414182325726</c:v>
                </c:pt>
                <c:pt idx="6">
                  <c:v>0.57847944878855939</c:v>
                </c:pt>
                <c:pt idx="7">
                  <c:v>0.62528716617021285</c:v>
                </c:pt>
                <c:pt idx="8">
                  <c:v>0.65932768014648602</c:v>
                </c:pt>
                <c:pt idx="9">
                  <c:v>0.69288643025200192</c:v>
                </c:pt>
                <c:pt idx="10">
                  <c:v>0.71108581497512369</c:v>
                </c:pt>
                <c:pt idx="11">
                  <c:v>0.73710437617476199</c:v>
                </c:pt>
                <c:pt idx="12">
                  <c:v>0.77720801839897058</c:v>
                </c:pt>
                <c:pt idx="13">
                  <c:v>0.81443259786031164</c:v>
                </c:pt>
                <c:pt idx="14">
                  <c:v>0.84856808790016258</c:v>
                </c:pt>
                <c:pt idx="15">
                  <c:v>0.87001120615340788</c:v>
                </c:pt>
                <c:pt idx="16">
                  <c:v>0.88677687807238259</c:v>
                </c:pt>
                <c:pt idx="17">
                  <c:v>0.91240617205349639</c:v>
                </c:pt>
                <c:pt idx="18">
                  <c:v>0.93818818799496129</c:v>
                </c:pt>
                <c:pt idx="19">
                  <c:v>0.97296383382431273</c:v>
                </c:pt>
                <c:pt idx="20">
                  <c:v>1</c:v>
                </c:pt>
                <c:pt idx="21">
                  <c:v>1.0135206222675821</c:v>
                </c:pt>
                <c:pt idx="22">
                  <c:v>1.0539421222205592</c:v>
                </c:pt>
                <c:pt idx="23">
                  <c:v>1.1047334877731527</c:v>
                </c:pt>
                <c:pt idx="24">
                  <c:v>1.1579177981690203</c:v>
                </c:pt>
                <c:pt idx="25">
                  <c:v>1.2103554678371526</c:v>
                </c:pt>
                <c:pt idx="26">
                  <c:v>1.279469047041613</c:v>
                </c:pt>
                <c:pt idx="27">
                  <c:v>1.3598282574512668</c:v>
                </c:pt>
                <c:pt idx="28">
                  <c:v>1.4529921123211054</c:v>
                </c:pt>
                <c:pt idx="29">
                  <c:v>1.5608277913247</c:v>
                </c:pt>
                <c:pt idx="30">
                  <c:v>1.685570844987083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EDC-4CC6-85C5-06446900BC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59552"/>
        <c:axId val="2058720"/>
      </c:lineChart>
      <c:catAx>
        <c:axId val="536042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536042848"/>
        <c:crosses val="autoZero"/>
        <c:auto val="1"/>
        <c:lblAlgn val="ctr"/>
        <c:lblOffset val="100"/>
        <c:noMultiLvlLbl val="0"/>
      </c:catAx>
      <c:valAx>
        <c:axId val="536042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536042016"/>
        <c:crosses val="autoZero"/>
        <c:crossBetween val="between"/>
      </c:valAx>
      <c:valAx>
        <c:axId val="2058720"/>
        <c:scaling>
          <c:orientation val="minMax"/>
        </c:scaling>
        <c:delete val="0"/>
        <c:axPos val="r"/>
        <c:numFmt formatCode="#,##0.000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2059552"/>
        <c:crosses val="max"/>
        <c:crossBetween val="between"/>
      </c:valAx>
      <c:catAx>
        <c:axId val="20595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5872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0.xml"/><Relationship Id="rId13" Type="http://schemas.openxmlformats.org/officeDocument/2006/relationships/chart" Target="../charts/chart25.xml"/><Relationship Id="rId3" Type="http://schemas.openxmlformats.org/officeDocument/2006/relationships/chart" Target="../charts/chart15.xml"/><Relationship Id="rId7" Type="http://schemas.openxmlformats.org/officeDocument/2006/relationships/chart" Target="../charts/chart19.xml"/><Relationship Id="rId12" Type="http://schemas.openxmlformats.org/officeDocument/2006/relationships/chart" Target="../charts/chart24.xml"/><Relationship Id="rId2" Type="http://schemas.openxmlformats.org/officeDocument/2006/relationships/chart" Target="../charts/chart14.xml"/><Relationship Id="rId16" Type="http://schemas.openxmlformats.org/officeDocument/2006/relationships/chart" Target="../charts/chart28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11" Type="http://schemas.openxmlformats.org/officeDocument/2006/relationships/chart" Target="../charts/chart23.xml"/><Relationship Id="rId5" Type="http://schemas.openxmlformats.org/officeDocument/2006/relationships/chart" Target="../charts/chart17.xml"/><Relationship Id="rId15" Type="http://schemas.openxmlformats.org/officeDocument/2006/relationships/chart" Target="../charts/chart27.xml"/><Relationship Id="rId10" Type="http://schemas.openxmlformats.org/officeDocument/2006/relationships/chart" Target="../charts/chart22.xml"/><Relationship Id="rId4" Type="http://schemas.openxmlformats.org/officeDocument/2006/relationships/chart" Target="../charts/chart16.xml"/><Relationship Id="rId9" Type="http://schemas.openxmlformats.org/officeDocument/2006/relationships/chart" Target="../charts/chart21.xml"/><Relationship Id="rId14" Type="http://schemas.openxmlformats.org/officeDocument/2006/relationships/chart" Target="../charts/chart26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1.xml"/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4.xml"/><Relationship Id="rId2" Type="http://schemas.openxmlformats.org/officeDocument/2006/relationships/chart" Target="../charts/chart33.xml"/><Relationship Id="rId1" Type="http://schemas.openxmlformats.org/officeDocument/2006/relationships/chart" Target="../charts/chart32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7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33020</xdr:colOff>
      <xdr:row>38</xdr:row>
      <xdr:rowOff>25400</xdr:rowOff>
    </xdr:from>
    <xdr:to>
      <xdr:col>7</xdr:col>
      <xdr:colOff>495300</xdr:colOff>
      <xdr:row>58</xdr:row>
      <xdr:rowOff>139700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D8DFA459-4875-417B-92F3-8C8939DBE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62230</xdr:colOff>
      <xdr:row>38</xdr:row>
      <xdr:rowOff>22860</xdr:rowOff>
    </xdr:from>
    <xdr:to>
      <xdr:col>13</xdr:col>
      <xdr:colOff>843280</xdr:colOff>
      <xdr:row>58</xdr:row>
      <xdr:rowOff>124460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03C8F75B-1D22-4AA7-AEEA-0FED298022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31750</xdr:colOff>
      <xdr:row>38</xdr:row>
      <xdr:rowOff>38100</xdr:rowOff>
    </xdr:from>
    <xdr:to>
      <xdr:col>23</xdr:col>
      <xdr:colOff>812800</xdr:colOff>
      <xdr:row>58</xdr:row>
      <xdr:rowOff>139700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548F1DD4-EE17-48EB-9A7E-A228E16DCD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27</xdr:col>
      <xdr:colOff>76200</xdr:colOff>
      <xdr:row>38</xdr:row>
      <xdr:rowOff>38100</xdr:rowOff>
    </xdr:from>
    <xdr:to>
      <xdr:col>32</xdr:col>
      <xdr:colOff>548640</xdr:colOff>
      <xdr:row>58</xdr:row>
      <xdr:rowOff>137160</xdr:rowOff>
    </xdr:to>
    <xdr:graphicFrame macro="">
      <xdr:nvGraphicFramePr>
        <xdr:cNvPr id="5" name="Diagram 4">
          <a:extLst>
            <a:ext uri="{FF2B5EF4-FFF2-40B4-BE49-F238E27FC236}">
              <a16:creationId xmlns:a16="http://schemas.microsoft.com/office/drawing/2014/main" id="{9CE37E33-7FE4-4252-B595-9DE9B2E1C2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33</xdr:col>
      <xdr:colOff>76200</xdr:colOff>
      <xdr:row>38</xdr:row>
      <xdr:rowOff>38100</xdr:rowOff>
    </xdr:from>
    <xdr:to>
      <xdr:col>38</xdr:col>
      <xdr:colOff>533400</xdr:colOff>
      <xdr:row>58</xdr:row>
      <xdr:rowOff>152400</xdr:rowOff>
    </xdr:to>
    <xdr:graphicFrame macro="">
      <xdr:nvGraphicFramePr>
        <xdr:cNvPr id="7" name="Diagram 6">
          <a:extLst>
            <a:ext uri="{FF2B5EF4-FFF2-40B4-BE49-F238E27FC236}">
              <a16:creationId xmlns:a16="http://schemas.microsoft.com/office/drawing/2014/main" id="{5E6B87DA-AC09-4F39-BADE-80B9CEF4CF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39</xdr:col>
      <xdr:colOff>106680</xdr:colOff>
      <xdr:row>38</xdr:row>
      <xdr:rowOff>38100</xdr:rowOff>
    </xdr:from>
    <xdr:to>
      <xdr:col>44</xdr:col>
      <xdr:colOff>807720</xdr:colOff>
      <xdr:row>58</xdr:row>
      <xdr:rowOff>152400</xdr:rowOff>
    </xdr:to>
    <xdr:graphicFrame macro="">
      <xdr:nvGraphicFramePr>
        <xdr:cNvPr id="8" name="Diagram 7">
          <a:extLst>
            <a:ext uri="{FF2B5EF4-FFF2-40B4-BE49-F238E27FC236}">
              <a16:creationId xmlns:a16="http://schemas.microsoft.com/office/drawing/2014/main" id="{A135761B-A157-4EEF-B860-E7B280A1E6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45</xdr:col>
      <xdr:colOff>213360</xdr:colOff>
      <xdr:row>38</xdr:row>
      <xdr:rowOff>38100</xdr:rowOff>
    </xdr:from>
    <xdr:to>
      <xdr:col>49</xdr:col>
      <xdr:colOff>838200</xdr:colOff>
      <xdr:row>58</xdr:row>
      <xdr:rowOff>152400</xdr:rowOff>
    </xdr:to>
    <xdr:graphicFrame macro="">
      <xdr:nvGraphicFramePr>
        <xdr:cNvPr id="9" name="Diagram 8">
          <a:extLst>
            <a:ext uri="{FF2B5EF4-FFF2-40B4-BE49-F238E27FC236}">
              <a16:creationId xmlns:a16="http://schemas.microsoft.com/office/drawing/2014/main" id="{38559EEC-EE29-4678-9FBF-3AFEC4F8EB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15240</xdr:colOff>
      <xdr:row>38</xdr:row>
      <xdr:rowOff>38100</xdr:rowOff>
    </xdr:from>
    <xdr:to>
      <xdr:col>18</xdr:col>
      <xdr:colOff>853440</xdr:colOff>
      <xdr:row>58</xdr:row>
      <xdr:rowOff>152400</xdr:rowOff>
    </xdr:to>
    <xdr:graphicFrame macro="">
      <xdr:nvGraphicFramePr>
        <xdr:cNvPr id="10" name="Diagram 9">
          <a:extLst>
            <a:ext uri="{FF2B5EF4-FFF2-40B4-BE49-F238E27FC236}">
              <a16:creationId xmlns:a16="http://schemas.microsoft.com/office/drawing/2014/main" id="{619022FC-E872-4A40-858D-AD8D3D47CB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50</xdr:col>
      <xdr:colOff>60960</xdr:colOff>
      <xdr:row>38</xdr:row>
      <xdr:rowOff>45720</xdr:rowOff>
    </xdr:from>
    <xdr:to>
      <xdr:col>54</xdr:col>
      <xdr:colOff>838200</xdr:colOff>
      <xdr:row>58</xdr:row>
      <xdr:rowOff>167640</xdr:rowOff>
    </xdr:to>
    <xdr:graphicFrame macro="">
      <xdr:nvGraphicFramePr>
        <xdr:cNvPr id="11" name="Diagram 10">
          <a:extLst>
            <a:ext uri="{FF2B5EF4-FFF2-40B4-BE49-F238E27FC236}">
              <a16:creationId xmlns:a16="http://schemas.microsoft.com/office/drawing/2014/main" id="{151440C5-9D9D-49A5-8B9E-A4E1683F0D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61</xdr:col>
      <xdr:colOff>60960</xdr:colOff>
      <xdr:row>38</xdr:row>
      <xdr:rowOff>30480</xdr:rowOff>
    </xdr:from>
    <xdr:to>
      <xdr:col>69</xdr:col>
      <xdr:colOff>792480</xdr:colOff>
      <xdr:row>58</xdr:row>
      <xdr:rowOff>137160</xdr:rowOff>
    </xdr:to>
    <xdr:graphicFrame macro="">
      <xdr:nvGraphicFramePr>
        <xdr:cNvPr id="12" name="Diagram 11">
          <a:extLst>
            <a:ext uri="{FF2B5EF4-FFF2-40B4-BE49-F238E27FC236}">
              <a16:creationId xmlns:a16="http://schemas.microsoft.com/office/drawing/2014/main" id="{19D01C3B-87CE-45AC-94BF-249D5C23A5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72</xdr:col>
      <xdr:colOff>45720</xdr:colOff>
      <xdr:row>38</xdr:row>
      <xdr:rowOff>45720</xdr:rowOff>
    </xdr:from>
    <xdr:to>
      <xdr:col>77</xdr:col>
      <xdr:colOff>822960</xdr:colOff>
      <xdr:row>58</xdr:row>
      <xdr:rowOff>152400</xdr:rowOff>
    </xdr:to>
    <xdr:graphicFrame macro="">
      <xdr:nvGraphicFramePr>
        <xdr:cNvPr id="6" name="Diagram 5">
          <a:extLst>
            <a:ext uri="{FF2B5EF4-FFF2-40B4-BE49-F238E27FC236}">
              <a16:creationId xmlns:a16="http://schemas.microsoft.com/office/drawing/2014/main" id="{EF937D0F-7F68-46E2-9AA2-23527CFA90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78</xdr:col>
      <xdr:colOff>76200</xdr:colOff>
      <xdr:row>38</xdr:row>
      <xdr:rowOff>45720</xdr:rowOff>
    </xdr:from>
    <xdr:to>
      <xdr:col>83</xdr:col>
      <xdr:colOff>792480</xdr:colOff>
      <xdr:row>58</xdr:row>
      <xdr:rowOff>167640</xdr:rowOff>
    </xdr:to>
    <xdr:graphicFrame macro="">
      <xdr:nvGraphicFramePr>
        <xdr:cNvPr id="13" name="Diagram 12">
          <a:extLst>
            <a:ext uri="{FF2B5EF4-FFF2-40B4-BE49-F238E27FC236}">
              <a16:creationId xmlns:a16="http://schemas.microsoft.com/office/drawing/2014/main" id="{C6E2F821-1801-42C5-807D-B221725D059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69850</xdr:colOff>
      <xdr:row>65</xdr:row>
      <xdr:rowOff>76200</xdr:rowOff>
    </xdr:from>
    <xdr:to>
      <xdr:col>28</xdr:col>
      <xdr:colOff>787400</xdr:colOff>
      <xdr:row>87</xdr:row>
      <xdr:rowOff>76200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2B7D0111-2166-46C1-BE3B-0349CEAD8AA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82550</xdr:colOff>
      <xdr:row>65</xdr:row>
      <xdr:rowOff>63500</xdr:rowOff>
    </xdr:from>
    <xdr:to>
      <xdr:col>37</xdr:col>
      <xdr:colOff>787400</xdr:colOff>
      <xdr:row>87</xdr:row>
      <xdr:rowOff>38100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30360016-5BAB-4CBC-8B2E-44177D87E6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107950</xdr:colOff>
      <xdr:row>90</xdr:row>
      <xdr:rowOff>63500</xdr:rowOff>
    </xdr:from>
    <xdr:to>
      <xdr:col>28</xdr:col>
      <xdr:colOff>812800</xdr:colOff>
      <xdr:row>112</xdr:row>
      <xdr:rowOff>76200</xdr:rowOff>
    </xdr:to>
    <xdr:graphicFrame macro="">
      <xdr:nvGraphicFramePr>
        <xdr:cNvPr id="5" name="Diagram 4">
          <a:extLst>
            <a:ext uri="{FF2B5EF4-FFF2-40B4-BE49-F238E27FC236}">
              <a16:creationId xmlns:a16="http://schemas.microsoft.com/office/drawing/2014/main" id="{A857E3FA-D79B-4EC9-83B3-ACF3CCD82C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29</xdr:col>
      <xdr:colOff>82550</xdr:colOff>
      <xdr:row>90</xdr:row>
      <xdr:rowOff>63500</xdr:rowOff>
    </xdr:from>
    <xdr:to>
      <xdr:col>37</xdr:col>
      <xdr:colOff>812800</xdr:colOff>
      <xdr:row>112</xdr:row>
      <xdr:rowOff>88900</xdr:rowOff>
    </xdr:to>
    <xdr:graphicFrame macro="">
      <xdr:nvGraphicFramePr>
        <xdr:cNvPr id="6" name="Diagram 5">
          <a:extLst>
            <a:ext uri="{FF2B5EF4-FFF2-40B4-BE49-F238E27FC236}">
              <a16:creationId xmlns:a16="http://schemas.microsoft.com/office/drawing/2014/main" id="{CC2F7A8F-1967-4999-9C65-537C84F0AEC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20</xdr:col>
      <xdr:colOff>69850</xdr:colOff>
      <xdr:row>115</xdr:row>
      <xdr:rowOff>50800</xdr:rowOff>
    </xdr:from>
    <xdr:to>
      <xdr:col>28</xdr:col>
      <xdr:colOff>800100</xdr:colOff>
      <xdr:row>137</xdr:row>
      <xdr:rowOff>63500</xdr:rowOff>
    </xdr:to>
    <xdr:graphicFrame macro="">
      <xdr:nvGraphicFramePr>
        <xdr:cNvPr id="9" name="Diagram 8">
          <a:extLst>
            <a:ext uri="{FF2B5EF4-FFF2-40B4-BE49-F238E27FC236}">
              <a16:creationId xmlns:a16="http://schemas.microsoft.com/office/drawing/2014/main" id="{B8E55605-0823-4C56-8EF5-4CF0AF810B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29</xdr:col>
      <xdr:colOff>95250</xdr:colOff>
      <xdr:row>115</xdr:row>
      <xdr:rowOff>38100</xdr:rowOff>
    </xdr:from>
    <xdr:to>
      <xdr:col>37</xdr:col>
      <xdr:colOff>812800</xdr:colOff>
      <xdr:row>137</xdr:row>
      <xdr:rowOff>63500</xdr:rowOff>
    </xdr:to>
    <xdr:graphicFrame macro="">
      <xdr:nvGraphicFramePr>
        <xdr:cNvPr id="10" name="Diagram 9">
          <a:extLst>
            <a:ext uri="{FF2B5EF4-FFF2-40B4-BE49-F238E27FC236}">
              <a16:creationId xmlns:a16="http://schemas.microsoft.com/office/drawing/2014/main" id="{1541DF96-6A23-47FA-B9F7-5B792631A8B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20</xdr:col>
      <xdr:colOff>69850</xdr:colOff>
      <xdr:row>140</xdr:row>
      <xdr:rowOff>50800</xdr:rowOff>
    </xdr:from>
    <xdr:to>
      <xdr:col>28</xdr:col>
      <xdr:colOff>800100</xdr:colOff>
      <xdr:row>162</xdr:row>
      <xdr:rowOff>101600</xdr:rowOff>
    </xdr:to>
    <xdr:graphicFrame macro="">
      <xdr:nvGraphicFramePr>
        <xdr:cNvPr id="11" name="Diagram 10">
          <a:extLst>
            <a:ext uri="{FF2B5EF4-FFF2-40B4-BE49-F238E27FC236}">
              <a16:creationId xmlns:a16="http://schemas.microsoft.com/office/drawing/2014/main" id="{3ACB66F8-6C84-41C9-B9D3-C6D7137158A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29</xdr:col>
      <xdr:colOff>95250</xdr:colOff>
      <xdr:row>140</xdr:row>
      <xdr:rowOff>38100</xdr:rowOff>
    </xdr:from>
    <xdr:to>
      <xdr:col>37</xdr:col>
      <xdr:colOff>800100</xdr:colOff>
      <xdr:row>162</xdr:row>
      <xdr:rowOff>76200</xdr:rowOff>
    </xdr:to>
    <xdr:graphicFrame macro="">
      <xdr:nvGraphicFramePr>
        <xdr:cNvPr id="12" name="Diagram 11">
          <a:extLst>
            <a:ext uri="{FF2B5EF4-FFF2-40B4-BE49-F238E27FC236}">
              <a16:creationId xmlns:a16="http://schemas.microsoft.com/office/drawing/2014/main" id="{B89187C7-8E9E-4674-A3BB-BE7D730BCBA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20</xdr:col>
      <xdr:colOff>69850</xdr:colOff>
      <xdr:row>226</xdr:row>
      <xdr:rowOff>76200</xdr:rowOff>
    </xdr:from>
    <xdr:to>
      <xdr:col>28</xdr:col>
      <xdr:colOff>787400</xdr:colOff>
      <xdr:row>248</xdr:row>
      <xdr:rowOff>76200</xdr:rowOff>
    </xdr:to>
    <xdr:graphicFrame macro="">
      <xdr:nvGraphicFramePr>
        <xdr:cNvPr id="13" name="Diagram 12">
          <a:extLst>
            <a:ext uri="{FF2B5EF4-FFF2-40B4-BE49-F238E27FC236}">
              <a16:creationId xmlns:a16="http://schemas.microsoft.com/office/drawing/2014/main" id="{7695CD78-BFEF-4A88-9C84-7580A7F61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29</xdr:col>
      <xdr:colOff>82550</xdr:colOff>
      <xdr:row>226</xdr:row>
      <xdr:rowOff>63500</xdr:rowOff>
    </xdr:from>
    <xdr:to>
      <xdr:col>37</xdr:col>
      <xdr:colOff>787400</xdr:colOff>
      <xdr:row>248</xdr:row>
      <xdr:rowOff>38100</xdr:rowOff>
    </xdr:to>
    <xdr:graphicFrame macro="">
      <xdr:nvGraphicFramePr>
        <xdr:cNvPr id="14" name="Diagram 13">
          <a:extLst>
            <a:ext uri="{FF2B5EF4-FFF2-40B4-BE49-F238E27FC236}">
              <a16:creationId xmlns:a16="http://schemas.microsoft.com/office/drawing/2014/main" id="{1780B9E3-8026-4CE5-ACBB-38F9EF13C9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20</xdr:col>
      <xdr:colOff>107950</xdr:colOff>
      <xdr:row>251</xdr:row>
      <xdr:rowOff>63500</xdr:rowOff>
    </xdr:from>
    <xdr:to>
      <xdr:col>28</xdr:col>
      <xdr:colOff>812800</xdr:colOff>
      <xdr:row>273</xdr:row>
      <xdr:rowOff>76200</xdr:rowOff>
    </xdr:to>
    <xdr:graphicFrame macro="">
      <xdr:nvGraphicFramePr>
        <xdr:cNvPr id="15" name="Diagram 14">
          <a:extLst>
            <a:ext uri="{FF2B5EF4-FFF2-40B4-BE49-F238E27FC236}">
              <a16:creationId xmlns:a16="http://schemas.microsoft.com/office/drawing/2014/main" id="{EED0219D-2B94-4CB5-94E5-80F498EFE2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29</xdr:col>
      <xdr:colOff>82550</xdr:colOff>
      <xdr:row>251</xdr:row>
      <xdr:rowOff>63500</xdr:rowOff>
    </xdr:from>
    <xdr:to>
      <xdr:col>37</xdr:col>
      <xdr:colOff>812800</xdr:colOff>
      <xdr:row>273</xdr:row>
      <xdr:rowOff>88900</xdr:rowOff>
    </xdr:to>
    <xdr:graphicFrame macro="">
      <xdr:nvGraphicFramePr>
        <xdr:cNvPr id="16" name="Diagram 15">
          <a:extLst>
            <a:ext uri="{FF2B5EF4-FFF2-40B4-BE49-F238E27FC236}">
              <a16:creationId xmlns:a16="http://schemas.microsoft.com/office/drawing/2014/main" id="{2217BE12-B4A3-4612-A2AE-F63AE23182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20</xdr:col>
      <xdr:colOff>69850</xdr:colOff>
      <xdr:row>276</xdr:row>
      <xdr:rowOff>50800</xdr:rowOff>
    </xdr:from>
    <xdr:to>
      <xdr:col>28</xdr:col>
      <xdr:colOff>800100</xdr:colOff>
      <xdr:row>298</xdr:row>
      <xdr:rowOff>63500</xdr:rowOff>
    </xdr:to>
    <xdr:graphicFrame macro="">
      <xdr:nvGraphicFramePr>
        <xdr:cNvPr id="17" name="Diagram 16">
          <a:extLst>
            <a:ext uri="{FF2B5EF4-FFF2-40B4-BE49-F238E27FC236}">
              <a16:creationId xmlns:a16="http://schemas.microsoft.com/office/drawing/2014/main" id="{C2D61ED0-7A4A-4021-B78E-18FF40DF99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29</xdr:col>
      <xdr:colOff>95250</xdr:colOff>
      <xdr:row>276</xdr:row>
      <xdr:rowOff>38100</xdr:rowOff>
    </xdr:from>
    <xdr:to>
      <xdr:col>37</xdr:col>
      <xdr:colOff>812800</xdr:colOff>
      <xdr:row>298</xdr:row>
      <xdr:rowOff>63500</xdr:rowOff>
    </xdr:to>
    <xdr:graphicFrame macro="">
      <xdr:nvGraphicFramePr>
        <xdr:cNvPr id="18" name="Diagram 17">
          <a:extLst>
            <a:ext uri="{FF2B5EF4-FFF2-40B4-BE49-F238E27FC236}">
              <a16:creationId xmlns:a16="http://schemas.microsoft.com/office/drawing/2014/main" id="{62AF5EDC-C465-441A-B50B-6576FD8122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20</xdr:col>
      <xdr:colOff>69850</xdr:colOff>
      <xdr:row>301</xdr:row>
      <xdr:rowOff>50800</xdr:rowOff>
    </xdr:from>
    <xdr:to>
      <xdr:col>28</xdr:col>
      <xdr:colOff>800100</xdr:colOff>
      <xdr:row>323</xdr:row>
      <xdr:rowOff>101600</xdr:rowOff>
    </xdr:to>
    <xdr:graphicFrame macro="">
      <xdr:nvGraphicFramePr>
        <xdr:cNvPr id="19" name="Diagram 18">
          <a:extLst>
            <a:ext uri="{FF2B5EF4-FFF2-40B4-BE49-F238E27FC236}">
              <a16:creationId xmlns:a16="http://schemas.microsoft.com/office/drawing/2014/main" id="{F71034D5-0A95-4801-85E5-569722619A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29</xdr:col>
      <xdr:colOff>95250</xdr:colOff>
      <xdr:row>301</xdr:row>
      <xdr:rowOff>38100</xdr:rowOff>
    </xdr:from>
    <xdr:to>
      <xdr:col>37</xdr:col>
      <xdr:colOff>800100</xdr:colOff>
      <xdr:row>323</xdr:row>
      <xdr:rowOff>76200</xdr:rowOff>
    </xdr:to>
    <xdr:graphicFrame macro="">
      <xdr:nvGraphicFramePr>
        <xdr:cNvPr id="20" name="Diagram 19">
          <a:extLst>
            <a:ext uri="{FF2B5EF4-FFF2-40B4-BE49-F238E27FC236}">
              <a16:creationId xmlns:a16="http://schemas.microsoft.com/office/drawing/2014/main" id="{509D5624-D1F8-4BD6-81B9-479BAE5B7D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54428</xdr:colOff>
      <xdr:row>139</xdr:row>
      <xdr:rowOff>76200</xdr:rowOff>
    </xdr:from>
    <xdr:to>
      <xdr:col>31</xdr:col>
      <xdr:colOff>446314</xdr:colOff>
      <xdr:row>154</xdr:row>
      <xdr:rowOff>43543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BDBFB7DB-800C-48B1-8ECD-BF675C8EFB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33</xdr:col>
      <xdr:colOff>32656</xdr:colOff>
      <xdr:row>139</xdr:row>
      <xdr:rowOff>76199</xdr:rowOff>
    </xdr:from>
    <xdr:to>
      <xdr:col>39</xdr:col>
      <xdr:colOff>508000</xdr:colOff>
      <xdr:row>154</xdr:row>
      <xdr:rowOff>43542</xdr:rowOff>
    </xdr:to>
    <xdr:graphicFrame macro="">
      <xdr:nvGraphicFramePr>
        <xdr:cNvPr id="5" name="Diagram 4">
          <a:extLst>
            <a:ext uri="{FF2B5EF4-FFF2-40B4-BE49-F238E27FC236}">
              <a16:creationId xmlns:a16="http://schemas.microsoft.com/office/drawing/2014/main" id="{6DEEA6E7-524E-4E2D-8510-B5101B652B8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114300</xdr:colOff>
      <xdr:row>155</xdr:row>
      <xdr:rowOff>21772</xdr:rowOff>
    </xdr:from>
    <xdr:to>
      <xdr:col>28</xdr:col>
      <xdr:colOff>342900</xdr:colOff>
      <xdr:row>177</xdr:row>
      <xdr:rowOff>97971</xdr:rowOff>
    </xdr:to>
    <xdr:graphicFrame macro="">
      <xdr:nvGraphicFramePr>
        <xdr:cNvPr id="7" name="Diagram 6">
          <a:extLst>
            <a:ext uri="{FF2B5EF4-FFF2-40B4-BE49-F238E27FC236}">
              <a16:creationId xmlns:a16="http://schemas.microsoft.com/office/drawing/2014/main" id="{B7BF5881-65B3-4604-AA3C-6D74930D2B9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31750</xdr:colOff>
      <xdr:row>141</xdr:row>
      <xdr:rowOff>63500</xdr:rowOff>
    </xdr:from>
    <xdr:to>
      <xdr:col>27</xdr:col>
      <xdr:colOff>609600</xdr:colOff>
      <xdr:row>165</xdr:row>
      <xdr:rowOff>139700</xdr:rowOff>
    </xdr:to>
    <xdr:graphicFrame macro="">
      <xdr:nvGraphicFramePr>
        <xdr:cNvPr id="18" name="Diagram 17">
          <a:extLst>
            <a:ext uri="{FF2B5EF4-FFF2-40B4-BE49-F238E27FC236}">
              <a16:creationId xmlns:a16="http://schemas.microsoft.com/office/drawing/2014/main" id="{E2A281B4-BACF-4B9D-A1B6-4409433C11B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35</xdr:col>
      <xdr:colOff>52070</xdr:colOff>
      <xdr:row>141</xdr:row>
      <xdr:rowOff>53340</xdr:rowOff>
    </xdr:from>
    <xdr:to>
      <xdr:col>45</xdr:col>
      <xdr:colOff>261620</xdr:colOff>
      <xdr:row>165</xdr:row>
      <xdr:rowOff>99060</xdr:rowOff>
    </xdr:to>
    <xdr:graphicFrame macro="">
      <xdr:nvGraphicFramePr>
        <xdr:cNvPr id="19" name="Diagram 18">
          <a:extLst>
            <a:ext uri="{FF2B5EF4-FFF2-40B4-BE49-F238E27FC236}">
              <a16:creationId xmlns:a16="http://schemas.microsoft.com/office/drawing/2014/main" id="{7677E174-DBD4-4774-8B12-52A1DF3936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49</xdr:col>
      <xdr:colOff>44450</xdr:colOff>
      <xdr:row>141</xdr:row>
      <xdr:rowOff>25400</xdr:rowOff>
    </xdr:from>
    <xdr:to>
      <xdr:col>58</xdr:col>
      <xdr:colOff>635000</xdr:colOff>
      <xdr:row>165</xdr:row>
      <xdr:rowOff>76200</xdr:rowOff>
    </xdr:to>
    <xdr:graphicFrame macro="">
      <xdr:nvGraphicFramePr>
        <xdr:cNvPr id="20" name="Diagram 19">
          <a:extLst>
            <a:ext uri="{FF2B5EF4-FFF2-40B4-BE49-F238E27FC236}">
              <a16:creationId xmlns:a16="http://schemas.microsoft.com/office/drawing/2014/main" id="{EF4D2BA0-7F42-453B-8C36-BAB082F22EE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31750</xdr:colOff>
      <xdr:row>141</xdr:row>
      <xdr:rowOff>63500</xdr:rowOff>
    </xdr:from>
    <xdr:to>
      <xdr:col>27</xdr:col>
      <xdr:colOff>609600</xdr:colOff>
      <xdr:row>165</xdr:row>
      <xdr:rowOff>139700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2620C60B-690B-49DC-8107-7891A2093F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35</xdr:col>
      <xdr:colOff>52070</xdr:colOff>
      <xdr:row>141</xdr:row>
      <xdr:rowOff>53340</xdr:rowOff>
    </xdr:from>
    <xdr:to>
      <xdr:col>45</xdr:col>
      <xdr:colOff>261620</xdr:colOff>
      <xdr:row>165</xdr:row>
      <xdr:rowOff>99060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79004CE3-B068-4C56-8E93-719E64303B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49</xdr:col>
      <xdr:colOff>44450</xdr:colOff>
      <xdr:row>141</xdr:row>
      <xdr:rowOff>25400</xdr:rowOff>
    </xdr:from>
    <xdr:to>
      <xdr:col>58</xdr:col>
      <xdr:colOff>635000</xdr:colOff>
      <xdr:row>165</xdr:row>
      <xdr:rowOff>76200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773967A3-C470-4142-9B31-57C5EB4B4C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Boda%20munka\&#193;KM%20Tajti\SVK\Peremsz&#225;mok%20&#246;sszehas\Peremsz&#225;mok%20H%2020210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BODA%20MUNKA/00%20Asztal/00%20Fut&#243;%20projektek/GF%202021/Modell%20specifik&#225;ci&#243;/02%20&#193;KM%20adatt&#225;r/&#193;KM%2020%20Regi%2021.04.18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BODA%20MUNKA/00%20Asztal/00%20Fut&#243;%20projektek/GF%202021/Modell%20specifik&#225;ci&#243;/04%20T&#337;ke%20adatok/T&#337;ke%20peremsz&#225;mok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tthoni/Downloads/cwon2018-country-tool-v1.0_0%20(2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tthoni/Downloads/&#193;KM%2020%20Regi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tthoni/Downloads/AKM2020_addra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ell - HUN 95-18"/>
      <sheetName val="Modell - HUN 00-14"/>
      <sheetName val="Összesítő H"/>
      <sheetName val="GDP folyó áron H"/>
      <sheetName val="GDP előző évi áron H"/>
      <sheetName val="GDP hosszú idősor KSH h_1_1 "/>
      <sheetName val="Bruttó nemzeti jöv (GNI) H "/>
      <sheetName val="X - H - Nem. pü. váll. folyó ár"/>
      <sheetName val="X - H - Pü. váll. folyó áron"/>
      <sheetName val="X - H - Kormányzat folyó áron"/>
      <sheetName val="X - H - Háztartások folyó áron"/>
      <sheetName val="X - H - HNSI-k folyó áron"/>
      <sheetName val="X - H - Nem pü-i váll. előző ár"/>
      <sheetName val="X - H - Pü. váll. előző ár"/>
      <sheetName val="X - H - Kormányzat előző ár"/>
      <sheetName val="X - H - Háztartások elozo ár"/>
      <sheetName val="X - H - HNSI-k előző ár"/>
      <sheetName val="Külf. nem pü. váll. hoz. értéke"/>
      <sheetName val="Külf. nem pü. váll. beruházásai"/>
      <sheetName val="Külf. nem pü. váll. foglalak. "/>
      <sheetName val="Népesség - összesen"/>
      <sheetName val="Népesség 0-14 éves"/>
      <sheetName val="Népesség 15-39 éves"/>
      <sheetName val="Népesség 40-59 éves"/>
      <sheetName val="Népesség 60-X éves"/>
      <sheetName val="Foglalkoztatottak létszáma"/>
      <sheetName val="Fogl. létszáma TEÁOR-ból"/>
      <sheetName val="Fogl. létszáma FEOR-ból"/>
      <sheetName val="Fogl. létszáma ISK. végz-ből"/>
      <sheetName val="Népesség MT Tükör 2019"/>
      <sheetName val="Gazd. aktivitás MT Tükör 2019"/>
      <sheetName val="Közfoglalkoztatás MT Tükör 2019"/>
      <sheetName val="Külf munkaváll. MT Tükör 2018"/>
      <sheetName val="Eszközállomány"/>
      <sheetName val="Nem-pénzügyi váll. eszközáll."/>
      <sheetName val="Pénzügyi váll. eszköz állománya"/>
      <sheetName val="Kormányzat eszköz állománya"/>
      <sheetName val="Háztartások eszköz állománya"/>
      <sheetName val="HSNI eszköz állomány"/>
      <sheetName val="Jövedelmek - mindösszesen"/>
      <sheetName val="Jövedelmek - nem pü. vállalatok"/>
      <sheetName val="Jövedelmek - pü. vállalatok"/>
      <sheetName val="Jövedelmek - kormányzat"/>
      <sheetName val="Jövedelmek - Háztartások"/>
      <sheetName val="Jövedelmek - HSNI-k"/>
      <sheetName val="MV jöv TEÁOR méret"/>
      <sheetName val="MV jöv TEÁOR szektor"/>
      <sheetName val="Munkaerőköltség TEÁOR"/>
      <sheetName val="Bérek keresetek TEÁOR szektor"/>
      <sheetName val="TB TEÁOR szektor"/>
      <sheetName val="Jövedelmi lekérdezések eltérése"/>
      <sheetName val="NG integrált sz 95"/>
      <sheetName val="NG integrált sz 96"/>
      <sheetName val="NG integrált sz 97"/>
      <sheetName val="NG integrált sz 98"/>
      <sheetName val="NG integrált sz 99"/>
      <sheetName val="NG integrált sz 00"/>
      <sheetName val="NG integrált sz 01"/>
      <sheetName val="NG integrált sz 02"/>
      <sheetName val="NG integrált sz 03"/>
      <sheetName val="NG integrált sz 04"/>
      <sheetName val="NG integrált sz 05"/>
      <sheetName val="NG integrált sz 06"/>
      <sheetName val="NG integrált sz 07"/>
      <sheetName val="NG integrált sz 08"/>
      <sheetName val="NG integrált sz 09"/>
      <sheetName val="NG integrált sz 10"/>
      <sheetName val="NG integrált sz 11"/>
      <sheetName val="NG integrált sz 12"/>
      <sheetName val="NG integrált sz 13"/>
      <sheetName val="NG integrált sz 14"/>
      <sheetName val="NG integrált sz 15"/>
      <sheetName val="NG integrált sz 16"/>
      <sheetName val="NG integrált sz 17"/>
      <sheetName val="NG integrált sz 18"/>
      <sheetName val="NG integrált sz 19"/>
      <sheetName val="GDP végső felhaszn. folyó áron"/>
      <sheetName val="GDP végső felhaszn. előző ár  "/>
      <sheetName val="Reg. - élő - társas - 50-249 fő"/>
      <sheetName val="Regiszt. gazd. szerv. - összes"/>
      <sheetName val="Regisztr. gazd. szerv. - élők"/>
      <sheetName val="Registr. - élők - önálló vállal"/>
      <sheetName val="Regiszt. - élők - társas vállal"/>
      <sheetName val="Regiszt. - élők - költségvetés"/>
      <sheetName val="Reg. - élő - önálló - 0 fő"/>
      <sheetName val="Reg. - élő - önálló - 1-4 fő"/>
      <sheetName val="Reg. - élő - önálló - 5-9 fő"/>
      <sheetName val="Reg. - élő - önálló - 10-19 fő"/>
      <sheetName val="Reg. - élő - önálló - 20-49 fő"/>
      <sheetName val="Reg. - élő - önálló - 50-249 fő"/>
      <sheetName val="Reg. - élő - önálló - 250 főlöt"/>
      <sheetName val="Reg. - élő - társas - 0 fő"/>
      <sheetName val="Reg. - élő - társas - 1-4 fő"/>
      <sheetName val="Reg. - élő - társas - 5-9 fő"/>
      <sheetName val="Reg. - élő - társas - 10-19 fő"/>
      <sheetName val="Reg. - élő - társas - 20-49 fő"/>
      <sheetName val="Reg. - élő - társas - 50-249 f"/>
      <sheetName val="Reg. - élő - társas - 250 fölöt"/>
      <sheetName val="Reg. - elők - költs. - 0 fő"/>
      <sheetName val="Reg. - elők - költs. - 1-4 fő"/>
      <sheetName val="Reg. - elők - költs. - 5-9 fő"/>
      <sheetName val="Reg. - elők - költs. - 10-19 fő"/>
      <sheetName val="Reg. - elők - költs. - 20-49 fő"/>
      <sheetName val="Reg. - elők - költs. - 50-249fő"/>
      <sheetName val="Reg. - elők - költs - 250felett"/>
      <sheetName val="Működők összesen"/>
      <sheetName val="Működők önállóak"/>
      <sheetName val="Működők társas"/>
      <sheetName val="Működők költségvetési"/>
      <sheetName val="Működö önálló 1-4 fő"/>
      <sheetName val="Működö önálló 5-9 fő"/>
      <sheetName val="Működö önálló 10-19 fő"/>
      <sheetName val="Működö önálló 20-49 fő"/>
      <sheetName val="Működö önálló 50-249 fő"/>
      <sheetName val="Működö önálló 250 fölött"/>
      <sheetName val="Működő társas 0 fő"/>
      <sheetName val="Működő társas 1-4 fő"/>
      <sheetName val="Működő társas 5-9 fő"/>
      <sheetName val="Működő társas 10-19 fő"/>
      <sheetName val="Működő társas 20-49 fő"/>
      <sheetName val="Működő társas 50-249 fő"/>
      <sheetName val="Működő társas 250 fő felett"/>
      <sheetName val="WIOD peremszámok ellenőrzése H"/>
      <sheetName val="GDP növ. elemzés H"/>
      <sheetName val="HÉ trend H"/>
      <sheetName val="GDP hosszú idősor H"/>
      <sheetName val="Munkajövedelem növ. elemzés H"/>
      <sheetName val="Bruttó eszköz növ. elemzés H"/>
      <sheetName val="Immat eszköz növ. elemzés H"/>
      <sheetName val="Munka költség növ. elemzés H"/>
      <sheetName val="Tőkeköltség növ. elemzés H"/>
      <sheetName val="Term.tényezők növekedése H"/>
      <sheetName val="NAV adatok H"/>
      <sheetName val="TFP elemzés H"/>
      <sheetName val="TFP modell H"/>
      <sheetName val="Elsődleges fogl. elemzés H"/>
    </sheetNames>
    <sheetDataSet>
      <sheetData sheetId="0" refreshError="1"/>
      <sheetData sheetId="1" refreshError="1"/>
      <sheetData sheetId="2">
        <row r="3">
          <cell r="C3" t="str">
            <v>Kibocsátás</v>
          </cell>
          <cell r="H3" t="str">
            <v>Bruttó hozzáadott érték</v>
          </cell>
          <cell r="M3" t="str">
            <v>Termékadók és terméktámogatások egyenlege</v>
          </cell>
          <cell r="AX3" t="str">
            <v>Végső fogyasztás összesen</v>
          </cell>
          <cell r="BG3" t="str">
            <v>Bruttó felhalmozás</v>
          </cell>
          <cell r="BI3" t="str">
            <v>Export</v>
          </cell>
          <cell r="BK3" t="str">
            <v>Import</v>
          </cell>
        </row>
        <row r="4">
          <cell r="C4" t="str">
            <v>Millió Ft.</v>
          </cell>
          <cell r="H4" t="str">
            <v>Millió Ft.</v>
          </cell>
          <cell r="M4" t="str">
            <v>Millió Ft.</v>
          </cell>
          <cell r="P4" t="str">
            <v>Millió Ft.</v>
          </cell>
          <cell r="AX4" t="str">
            <v>Millió Ft.</v>
          </cell>
        </row>
        <row r="13">
          <cell r="B13">
            <v>1995</v>
          </cell>
          <cell r="C13">
            <v>11194873</v>
          </cell>
          <cell r="H13">
            <v>4942722</v>
          </cell>
          <cell r="M13">
            <v>893761</v>
          </cell>
          <cell r="N13">
            <v>0</v>
          </cell>
          <cell r="P13">
            <v>5836483</v>
          </cell>
          <cell r="AX13">
            <v>4486015</v>
          </cell>
          <cell r="BG13">
            <v>1350920</v>
          </cell>
          <cell r="BI13">
            <v>2287229</v>
          </cell>
          <cell r="BK13">
            <v>2287681</v>
          </cell>
        </row>
        <row r="14">
          <cell r="B14">
            <v>1996</v>
          </cell>
          <cell r="C14">
            <v>13866010</v>
          </cell>
          <cell r="D14">
            <v>11496359</v>
          </cell>
          <cell r="H14">
            <v>6076238</v>
          </cell>
          <cell r="I14">
            <v>5010447</v>
          </cell>
          <cell r="M14">
            <v>1046067</v>
          </cell>
          <cell r="N14">
            <v>830846</v>
          </cell>
          <cell r="P14">
            <v>7122305</v>
          </cell>
          <cell r="Q14">
            <v>5841293</v>
          </cell>
          <cell r="AX14">
            <v>5321615</v>
          </cell>
          <cell r="AY14">
            <v>4371742</v>
          </cell>
          <cell r="BG14">
            <v>1766975</v>
          </cell>
          <cell r="BH14">
            <v>1421535</v>
          </cell>
          <cell r="BI14">
            <v>2983020</v>
          </cell>
          <cell r="BJ14">
            <v>2496880</v>
          </cell>
          <cell r="BK14">
            <v>2949305</v>
          </cell>
          <cell r="BL14">
            <v>2448864</v>
          </cell>
        </row>
        <row r="15">
          <cell r="B15">
            <v>1997</v>
          </cell>
          <cell r="C15">
            <v>17349723</v>
          </cell>
          <cell r="D15">
            <v>14692210</v>
          </cell>
          <cell r="H15">
            <v>7629846</v>
          </cell>
          <cell r="I15">
            <v>6261333</v>
          </cell>
          <cell r="M15">
            <v>1204714</v>
          </cell>
          <cell r="N15">
            <v>1084835</v>
          </cell>
          <cell r="P15">
            <v>8834560</v>
          </cell>
          <cell r="Q15">
            <v>7346168</v>
          </cell>
          <cell r="AX15">
            <v>6427687</v>
          </cell>
          <cell r="AY15">
            <v>5382625</v>
          </cell>
          <cell r="BG15">
            <v>2321874</v>
          </cell>
          <cell r="BH15">
            <v>1959843</v>
          </cell>
          <cell r="BI15">
            <v>4232233</v>
          </cell>
          <cell r="BJ15">
            <v>3661578</v>
          </cell>
          <cell r="BK15">
            <v>4147234</v>
          </cell>
          <cell r="BL15">
            <v>3657878</v>
          </cell>
        </row>
        <row r="16">
          <cell r="B16">
            <v>1998</v>
          </cell>
          <cell r="C16">
            <v>20692431</v>
          </cell>
          <cell r="D16">
            <v>18590497</v>
          </cell>
          <cell r="H16">
            <v>9009577</v>
          </cell>
          <cell r="I16">
            <v>7923988</v>
          </cell>
          <cell r="M16">
            <v>1433241</v>
          </cell>
          <cell r="N16">
            <v>1255120</v>
          </cell>
          <cell r="P16">
            <v>10442818</v>
          </cell>
          <cell r="Q16">
            <v>9179108</v>
          </cell>
          <cell r="AX16">
            <v>7608028</v>
          </cell>
          <cell r="AY16">
            <v>6600792</v>
          </cell>
          <cell r="BG16">
            <v>2998693</v>
          </cell>
          <cell r="BH16">
            <v>2774414</v>
          </cell>
          <cell r="BI16">
            <v>5527403</v>
          </cell>
          <cell r="BJ16">
            <v>4887340</v>
          </cell>
          <cell r="BK16">
            <v>5691306</v>
          </cell>
          <cell r="BL16">
            <v>5083438</v>
          </cell>
        </row>
        <row r="17">
          <cell r="B17">
            <v>1999</v>
          </cell>
          <cell r="C17">
            <v>23587112</v>
          </cell>
          <cell r="D17">
            <v>21742915</v>
          </cell>
          <cell r="H17">
            <v>9984353</v>
          </cell>
          <cell r="I17">
            <v>9270797</v>
          </cell>
          <cell r="M17">
            <v>1653193</v>
          </cell>
          <cell r="N17">
            <v>1492723</v>
          </cell>
          <cell r="P17">
            <v>11637546</v>
          </cell>
          <cell r="Q17">
            <v>10763520</v>
          </cell>
          <cell r="AX17">
            <v>8794997</v>
          </cell>
          <cell r="AY17">
            <v>8004980</v>
          </cell>
          <cell r="BG17">
            <v>3161239</v>
          </cell>
          <cell r="BH17">
            <v>3024935</v>
          </cell>
          <cell r="BI17">
            <v>6475556</v>
          </cell>
          <cell r="BJ17">
            <v>6179701</v>
          </cell>
          <cell r="BK17">
            <v>6794246</v>
          </cell>
          <cell r="BL17">
            <v>6446096</v>
          </cell>
        </row>
        <row r="18">
          <cell r="B18">
            <v>2000</v>
          </cell>
          <cell r="C18">
            <v>27746073</v>
          </cell>
          <cell r="D18">
            <v>25468061</v>
          </cell>
          <cell r="H18">
            <v>11357758</v>
          </cell>
          <cell r="I18">
            <v>10423687</v>
          </cell>
          <cell r="M18">
            <v>1966294</v>
          </cell>
          <cell r="N18">
            <v>1735127</v>
          </cell>
          <cell r="P18">
            <v>13324052</v>
          </cell>
          <cell r="Q18">
            <v>12158814</v>
          </cell>
          <cell r="AX18">
            <v>10076437</v>
          </cell>
          <cell r="AY18">
            <v>9094891</v>
          </cell>
          <cell r="BG18">
            <v>3739382</v>
          </cell>
          <cell r="BH18">
            <v>3338387</v>
          </cell>
          <cell r="BI18">
            <v>8908180</v>
          </cell>
          <cell r="BJ18">
            <v>8094714</v>
          </cell>
          <cell r="BK18">
            <v>9399947</v>
          </cell>
          <cell r="BL18">
            <v>8369178</v>
          </cell>
        </row>
        <row r="19">
          <cell r="B19">
            <v>2001</v>
          </cell>
          <cell r="C19">
            <v>31659408</v>
          </cell>
          <cell r="D19">
            <v>30014679</v>
          </cell>
          <cell r="H19">
            <v>13307856</v>
          </cell>
          <cell r="I19">
            <v>11841007</v>
          </cell>
          <cell r="M19">
            <v>2090844</v>
          </cell>
          <cell r="N19">
            <v>2025879</v>
          </cell>
          <cell r="P19">
            <v>15398700</v>
          </cell>
          <cell r="Q19">
            <v>13866886</v>
          </cell>
          <cell r="AX19">
            <v>11557527</v>
          </cell>
          <cell r="AY19">
            <v>10517836</v>
          </cell>
          <cell r="BG19">
            <v>4039882</v>
          </cell>
          <cell r="BH19">
            <v>3603862</v>
          </cell>
          <cell r="BI19">
            <v>9990264</v>
          </cell>
          <cell r="BJ19">
            <v>9694981</v>
          </cell>
          <cell r="BK19">
            <v>10188973</v>
          </cell>
          <cell r="BL19">
            <v>9949793</v>
          </cell>
        </row>
        <row r="20">
          <cell r="B20">
            <v>2002</v>
          </cell>
          <cell r="C20">
            <v>34656026</v>
          </cell>
          <cell r="D20">
            <v>34085277</v>
          </cell>
          <cell r="H20">
            <v>15134489</v>
          </cell>
          <cell r="I20">
            <v>13952616</v>
          </cell>
          <cell r="M20">
            <v>2299370</v>
          </cell>
          <cell r="N20">
            <v>2176180</v>
          </cell>
          <cell r="P20">
            <v>17433859</v>
          </cell>
          <cell r="Q20">
            <v>16128796</v>
          </cell>
          <cell r="AX20">
            <v>13326920</v>
          </cell>
          <cell r="AY20">
            <v>12390930</v>
          </cell>
          <cell r="BG20">
            <v>4463664</v>
          </cell>
          <cell r="BH20">
            <v>4245317</v>
          </cell>
          <cell r="BI20">
            <v>10135518</v>
          </cell>
          <cell r="BJ20">
            <v>10565738</v>
          </cell>
          <cell r="BK20">
            <v>10492243</v>
          </cell>
          <cell r="BL20">
            <v>11073189</v>
          </cell>
        </row>
        <row r="21">
          <cell r="B21">
            <v>2003</v>
          </cell>
          <cell r="C21">
            <v>37780177</v>
          </cell>
          <cell r="D21">
            <v>36475310</v>
          </cell>
          <cell r="H21">
            <v>16446137</v>
          </cell>
          <cell r="I21">
            <v>15779892</v>
          </cell>
          <cell r="M21">
            <v>2687674</v>
          </cell>
          <cell r="N21">
            <v>2366057</v>
          </cell>
          <cell r="P21">
            <v>19133811</v>
          </cell>
          <cell r="Q21">
            <v>18145949</v>
          </cell>
          <cell r="AX21">
            <v>15179257</v>
          </cell>
          <cell r="AY21">
            <v>14323161</v>
          </cell>
          <cell r="BG21">
            <v>4708399</v>
          </cell>
          <cell r="BH21">
            <v>4536081</v>
          </cell>
          <cell r="BI21">
            <v>10778680</v>
          </cell>
          <cell r="BJ21">
            <v>10768946</v>
          </cell>
          <cell r="BK21">
            <v>11532525</v>
          </cell>
          <cell r="BL21">
            <v>11482239</v>
          </cell>
        </row>
        <row r="22">
          <cell r="B22">
            <v>2004</v>
          </cell>
          <cell r="C22">
            <v>41356171</v>
          </cell>
          <cell r="D22">
            <v>40159770</v>
          </cell>
          <cell r="H22">
            <v>18038637</v>
          </cell>
          <cell r="I22">
            <v>17232196</v>
          </cell>
          <cell r="M22">
            <v>3038820</v>
          </cell>
          <cell r="N22">
            <v>2824411</v>
          </cell>
          <cell r="P22">
            <v>21077457</v>
          </cell>
          <cell r="Q22">
            <v>20056607</v>
          </cell>
          <cell r="AX22">
            <v>16245509</v>
          </cell>
          <cell r="AY22">
            <v>15434200</v>
          </cell>
          <cell r="BG22">
            <v>5666389</v>
          </cell>
          <cell r="BH22">
            <v>5445161</v>
          </cell>
          <cell r="BI22">
            <v>12573628</v>
          </cell>
          <cell r="BJ22">
            <v>12706702</v>
          </cell>
          <cell r="BK22">
            <v>13408069</v>
          </cell>
          <cell r="BL22">
            <v>13529456</v>
          </cell>
        </row>
        <row r="23">
          <cell r="B23">
            <v>2005</v>
          </cell>
          <cell r="C23">
            <v>45566084</v>
          </cell>
          <cell r="D23">
            <v>43720201</v>
          </cell>
          <cell r="H23">
            <v>19427334</v>
          </cell>
          <cell r="I23">
            <v>18789424</v>
          </cell>
          <cell r="M23">
            <v>3121686</v>
          </cell>
          <cell r="N23">
            <v>3182481</v>
          </cell>
          <cell r="P23">
            <v>22549020</v>
          </cell>
          <cell r="Q23">
            <v>21971905</v>
          </cell>
          <cell r="AX23">
            <v>17360534</v>
          </cell>
          <cell r="AY23">
            <v>16670220</v>
          </cell>
          <cell r="BG23">
            <v>5708903</v>
          </cell>
          <cell r="BH23">
            <v>5572418</v>
          </cell>
          <cell r="BI23">
            <v>14125287</v>
          </cell>
          <cell r="BJ23">
            <v>14192524</v>
          </cell>
          <cell r="BK23">
            <v>14645704</v>
          </cell>
          <cell r="BL23">
            <v>14463257</v>
          </cell>
        </row>
        <row r="24">
          <cell r="B24">
            <v>2006</v>
          </cell>
          <cell r="C24">
            <v>50642545</v>
          </cell>
          <cell r="D24">
            <v>47725699</v>
          </cell>
          <cell r="H24">
            <v>21111703</v>
          </cell>
          <cell r="I24">
            <v>20204098</v>
          </cell>
          <cell r="M24">
            <v>3204596</v>
          </cell>
          <cell r="N24">
            <v>3253876</v>
          </cell>
          <cell r="P24">
            <v>24316299</v>
          </cell>
          <cell r="Q24">
            <v>23457974</v>
          </cell>
          <cell r="AX24">
            <v>18319915</v>
          </cell>
          <cell r="AY24">
            <v>17642327</v>
          </cell>
          <cell r="BG24">
            <v>6271079</v>
          </cell>
          <cell r="BH24">
            <v>5845281</v>
          </cell>
          <cell r="BI24">
            <v>17962186</v>
          </cell>
          <cell r="BJ24">
            <v>16882328</v>
          </cell>
          <cell r="BK24">
            <v>18236881</v>
          </cell>
          <cell r="BL24">
            <v>16911962</v>
          </cell>
        </row>
        <row r="25">
          <cell r="B25">
            <v>2007</v>
          </cell>
          <cell r="C25">
            <v>52708440</v>
          </cell>
          <cell r="D25">
            <v>50695783</v>
          </cell>
          <cell r="H25">
            <v>22101834</v>
          </cell>
          <cell r="I25">
            <v>21147705</v>
          </cell>
          <cell r="M25">
            <v>3599535</v>
          </cell>
          <cell r="N25">
            <v>3227483</v>
          </cell>
          <cell r="P25">
            <v>25701369</v>
          </cell>
          <cell r="Q25">
            <v>24375188</v>
          </cell>
          <cell r="AX25">
            <v>19323427</v>
          </cell>
          <cell r="AY25">
            <v>18226179</v>
          </cell>
          <cell r="BG25">
            <v>6239747</v>
          </cell>
          <cell r="BH25">
            <v>6092883</v>
          </cell>
          <cell r="BI25">
            <v>20032233</v>
          </cell>
          <cell r="BJ25">
            <v>20854885</v>
          </cell>
          <cell r="BK25">
            <v>19894038</v>
          </cell>
          <cell r="BL25">
            <v>20798759</v>
          </cell>
        </row>
        <row r="26">
          <cell r="B26">
            <v>2008</v>
          </cell>
          <cell r="C26">
            <v>56386930</v>
          </cell>
          <cell r="D26">
            <v>54249201</v>
          </cell>
          <cell r="H26">
            <v>23313590</v>
          </cell>
          <cell r="I26">
            <v>22300401</v>
          </cell>
          <cell r="M26">
            <v>3903775</v>
          </cell>
          <cell r="N26">
            <v>3672963</v>
          </cell>
          <cell r="P26">
            <v>27217365</v>
          </cell>
          <cell r="Q26">
            <v>25973364</v>
          </cell>
          <cell r="AX26">
            <v>20418236</v>
          </cell>
          <cell r="AY26">
            <v>19308917</v>
          </cell>
          <cell r="BG26">
            <v>6702203</v>
          </cell>
          <cell r="BH26">
            <v>6380550</v>
          </cell>
          <cell r="BI26">
            <v>21576756</v>
          </cell>
          <cell r="BJ26">
            <v>21372718</v>
          </cell>
          <cell r="BK26">
            <v>21479830</v>
          </cell>
          <cell r="BL26">
            <v>21088821</v>
          </cell>
        </row>
        <row r="27">
          <cell r="B27">
            <v>2009</v>
          </cell>
          <cell r="C27">
            <v>52605415</v>
          </cell>
          <cell r="D27">
            <v>51285107</v>
          </cell>
          <cell r="H27">
            <v>22485632</v>
          </cell>
          <cell r="I27">
            <v>21735677</v>
          </cell>
          <cell r="M27">
            <v>3972632</v>
          </cell>
          <cell r="N27">
            <v>3658246</v>
          </cell>
          <cell r="P27">
            <v>26458264</v>
          </cell>
          <cell r="Q27">
            <v>25393923</v>
          </cell>
          <cell r="AX27">
            <v>20030361</v>
          </cell>
          <cell r="AY27">
            <v>19480301</v>
          </cell>
          <cell r="BG27">
            <v>5361326</v>
          </cell>
          <cell r="BH27">
            <v>5007572</v>
          </cell>
          <cell r="BI27">
            <v>19684848</v>
          </cell>
          <cell r="BJ27">
            <v>19262908</v>
          </cell>
          <cell r="BK27">
            <v>18618271</v>
          </cell>
          <cell r="BL27">
            <v>18356858</v>
          </cell>
        </row>
        <row r="28">
          <cell r="B28">
            <v>2010</v>
          </cell>
          <cell r="C28">
            <v>55427896</v>
          </cell>
          <cell r="D28">
            <v>53852470</v>
          </cell>
          <cell r="H28">
            <v>23278960</v>
          </cell>
          <cell r="I28">
            <v>22788952</v>
          </cell>
          <cell r="M28">
            <v>4152310</v>
          </cell>
          <cell r="N28">
            <v>3966221</v>
          </cell>
          <cell r="P28">
            <v>27431270</v>
          </cell>
          <cell r="Q28">
            <v>26755173</v>
          </cell>
          <cell r="AX28">
            <v>20368705</v>
          </cell>
          <cell r="AY28">
            <v>19845127</v>
          </cell>
          <cell r="BG28">
            <v>5618263</v>
          </cell>
          <cell r="BH28">
            <v>5499438</v>
          </cell>
          <cell r="BI28">
            <v>22292418</v>
          </cell>
          <cell r="BJ28">
            <v>21873452</v>
          </cell>
          <cell r="BK28">
            <v>20848116</v>
          </cell>
          <cell r="BL28">
            <v>20462844</v>
          </cell>
        </row>
        <row r="29">
          <cell r="B29">
            <v>2011</v>
          </cell>
          <cell r="C29">
            <v>58717003</v>
          </cell>
          <cell r="D29">
            <v>56642829</v>
          </cell>
          <cell r="H29">
            <v>24248459</v>
          </cell>
          <cell r="I29">
            <v>23752902</v>
          </cell>
          <cell r="M29">
            <v>4253042</v>
          </cell>
          <cell r="N29">
            <v>4209741</v>
          </cell>
          <cell r="P29">
            <v>28501501</v>
          </cell>
          <cell r="Q29">
            <v>27962643</v>
          </cell>
          <cell r="AX29">
            <v>20982566</v>
          </cell>
          <cell r="AY29">
            <v>20513914</v>
          </cell>
          <cell r="BG29">
            <v>5783412</v>
          </cell>
          <cell r="BH29">
            <v>5467961</v>
          </cell>
          <cell r="BI29">
            <v>24565027</v>
          </cell>
          <cell r="BJ29">
            <v>23720857</v>
          </cell>
          <cell r="BK29">
            <v>22829504</v>
          </cell>
          <cell r="BL29">
            <v>21740089</v>
          </cell>
        </row>
        <row r="30">
          <cell r="B30">
            <v>2012</v>
          </cell>
          <cell r="C30">
            <v>58297696</v>
          </cell>
          <cell r="D30">
            <v>56660243</v>
          </cell>
          <cell r="H30">
            <v>24333154</v>
          </cell>
          <cell r="I30">
            <v>23911737</v>
          </cell>
          <cell r="M30">
            <v>4587216</v>
          </cell>
          <cell r="N30">
            <v>4196266</v>
          </cell>
          <cell r="P30">
            <v>28920370</v>
          </cell>
          <cell r="Q30">
            <v>28108003</v>
          </cell>
          <cell r="AX30">
            <v>21388662</v>
          </cell>
          <cell r="AY30">
            <v>20562366</v>
          </cell>
          <cell r="BG30">
            <v>5577544</v>
          </cell>
          <cell r="BH30">
            <v>5435875</v>
          </cell>
          <cell r="BI30">
            <v>24902133</v>
          </cell>
          <cell r="BJ30">
            <v>24146493</v>
          </cell>
          <cell r="BK30">
            <v>22947969</v>
          </cell>
          <cell r="BL30">
            <v>22036731</v>
          </cell>
        </row>
        <row r="31">
          <cell r="B31">
            <v>2013</v>
          </cell>
          <cell r="C31">
            <v>60994346</v>
          </cell>
          <cell r="D31">
            <v>60632435</v>
          </cell>
          <cell r="H31">
            <v>25571146</v>
          </cell>
          <cell r="I31">
            <v>24941450</v>
          </cell>
          <cell r="M31">
            <v>4719774</v>
          </cell>
          <cell r="N31">
            <v>4517056</v>
          </cell>
          <cell r="P31">
            <v>30290920</v>
          </cell>
          <cell r="Q31">
            <v>29458506</v>
          </cell>
          <cell r="AX31">
            <v>21835219</v>
          </cell>
          <cell r="AY31">
            <v>21545055</v>
          </cell>
          <cell r="BG31">
            <v>6337912</v>
          </cell>
          <cell r="BH31">
            <v>5918747</v>
          </cell>
          <cell r="BI31">
            <v>25923810</v>
          </cell>
          <cell r="BJ31">
            <v>25923866</v>
          </cell>
          <cell r="BK31">
            <v>23806021</v>
          </cell>
          <cell r="BL31">
            <v>23929162</v>
          </cell>
        </row>
        <row r="32">
          <cell r="B32">
            <v>2014</v>
          </cell>
          <cell r="C32">
            <v>65547230</v>
          </cell>
          <cell r="D32">
            <v>64839451</v>
          </cell>
          <cell r="H32">
            <v>27656184</v>
          </cell>
          <cell r="I32">
            <v>26713185</v>
          </cell>
          <cell r="M32">
            <v>5085994</v>
          </cell>
          <cell r="N32">
            <v>4858723</v>
          </cell>
          <cell r="P32">
            <v>32742178</v>
          </cell>
          <cell r="Q32">
            <v>31571908</v>
          </cell>
          <cell r="AX32">
            <v>23004026</v>
          </cell>
          <cell r="AY32">
            <v>22525717</v>
          </cell>
          <cell r="BG32">
            <v>7663325</v>
          </cell>
          <cell r="BH32">
            <v>7153213</v>
          </cell>
          <cell r="BI32">
            <v>28580598</v>
          </cell>
          <cell r="BJ32">
            <v>28308226</v>
          </cell>
          <cell r="BK32">
            <v>26505771</v>
          </cell>
          <cell r="BL32">
            <v>26415248</v>
          </cell>
        </row>
        <row r="33">
          <cell r="B33">
            <v>2015</v>
          </cell>
          <cell r="C33">
            <v>69186242</v>
          </cell>
          <cell r="D33">
            <v>68644755</v>
          </cell>
          <cell r="H33">
            <v>29431865</v>
          </cell>
          <cell r="I33">
            <v>28712906</v>
          </cell>
          <cell r="M33">
            <v>5505448</v>
          </cell>
          <cell r="N33">
            <v>5279836</v>
          </cell>
          <cell r="P33">
            <v>34937313</v>
          </cell>
          <cell r="Q33">
            <v>33992742</v>
          </cell>
          <cell r="AX33">
            <v>24050513</v>
          </cell>
          <cell r="AY33">
            <v>23753476</v>
          </cell>
          <cell r="BG33">
            <v>8108326</v>
          </cell>
          <cell r="BH33">
            <v>7652242</v>
          </cell>
          <cell r="BI33">
            <v>30603810</v>
          </cell>
          <cell r="BJ33">
            <v>30685667</v>
          </cell>
          <cell r="BK33">
            <v>27825336</v>
          </cell>
          <cell r="BL33">
            <v>28098643</v>
          </cell>
        </row>
        <row r="34">
          <cell r="B34">
            <v>2016</v>
          </cell>
          <cell r="C34">
            <v>71529387</v>
          </cell>
          <cell r="D34">
            <v>70863607</v>
          </cell>
          <cell r="H34">
            <v>30675148</v>
          </cell>
          <cell r="I34">
            <v>30086797</v>
          </cell>
          <cell r="M34">
            <v>5492305</v>
          </cell>
          <cell r="N34">
            <v>5598173</v>
          </cell>
          <cell r="P34">
            <v>36167453</v>
          </cell>
          <cell r="Q34">
            <v>35684970</v>
          </cell>
          <cell r="AX34">
            <v>25374980</v>
          </cell>
          <cell r="AY34">
            <v>24912677</v>
          </cell>
          <cell r="BG34">
            <v>7652259</v>
          </cell>
          <cell r="BH34">
            <v>7773420</v>
          </cell>
          <cell r="BI34">
            <v>31284275</v>
          </cell>
          <cell r="BJ34">
            <v>31768035</v>
          </cell>
          <cell r="BK34">
            <v>28144061</v>
          </cell>
          <cell r="BL34">
            <v>28769162</v>
          </cell>
        </row>
        <row r="35">
          <cell r="B35">
            <v>2017</v>
          </cell>
          <cell r="C35">
            <v>77005555</v>
          </cell>
          <cell r="D35">
            <v>74868137</v>
          </cell>
          <cell r="H35">
            <v>33285449</v>
          </cell>
          <cell r="I35">
            <v>31995936</v>
          </cell>
          <cell r="M35">
            <v>5947981</v>
          </cell>
          <cell r="N35">
            <v>5732787</v>
          </cell>
          <cell r="P35">
            <v>39233430</v>
          </cell>
          <cell r="Q35">
            <v>37728723</v>
          </cell>
          <cell r="AX35">
            <v>27608900</v>
          </cell>
          <cell r="AY35">
            <v>26471188</v>
          </cell>
          <cell r="BG35">
            <v>8946865</v>
          </cell>
          <cell r="BH35">
            <v>8479760</v>
          </cell>
          <cell r="BI35">
            <v>33744700</v>
          </cell>
          <cell r="BJ35">
            <v>33310071</v>
          </cell>
          <cell r="BK35">
            <v>31067035</v>
          </cell>
          <cell r="BL35">
            <v>30532296</v>
          </cell>
        </row>
        <row r="36">
          <cell r="B36">
            <v>2018</v>
          </cell>
          <cell r="C36">
            <v>84833997</v>
          </cell>
          <cell r="D36">
            <v>81749814</v>
          </cell>
          <cell r="H36">
            <v>36620653</v>
          </cell>
          <cell r="I36">
            <v>35152420</v>
          </cell>
          <cell r="M36">
            <v>6726388</v>
          </cell>
          <cell r="N36">
            <v>6201692</v>
          </cell>
          <cell r="P36">
            <v>43347041</v>
          </cell>
          <cell r="Q36">
            <v>41354112</v>
          </cell>
          <cell r="AX36">
            <v>29900563</v>
          </cell>
          <cell r="AY36">
            <v>28748381</v>
          </cell>
          <cell r="BG36">
            <v>11537960</v>
          </cell>
          <cell r="BH36">
            <v>10399266</v>
          </cell>
          <cell r="BI36">
            <v>36364895</v>
          </cell>
          <cell r="BJ36">
            <v>35444713</v>
          </cell>
          <cell r="BK36">
            <v>34456377</v>
          </cell>
          <cell r="BL36">
            <v>33238248</v>
          </cell>
        </row>
        <row r="37">
          <cell r="B37">
            <v>2019</v>
          </cell>
          <cell r="C37">
            <v>92764658</v>
          </cell>
          <cell r="D37">
            <v>89406917</v>
          </cell>
          <cell r="H37">
            <v>40270141</v>
          </cell>
          <cell r="I37">
            <v>38347274</v>
          </cell>
          <cell r="M37">
            <v>7243771</v>
          </cell>
          <cell r="N37">
            <v>6984277</v>
          </cell>
          <cell r="P37">
            <v>47513912</v>
          </cell>
          <cell r="Q37">
            <v>45331551</v>
          </cell>
          <cell r="AX37">
            <v>32654543</v>
          </cell>
          <cell r="AY37">
            <v>31170204</v>
          </cell>
          <cell r="BG37">
            <v>13377583</v>
          </cell>
          <cell r="BH37">
            <v>12738369</v>
          </cell>
          <cell r="BI37">
            <v>39050821</v>
          </cell>
          <cell r="BJ37">
            <v>38468866</v>
          </cell>
          <cell r="BK37">
            <v>37569035</v>
          </cell>
          <cell r="BL37">
            <v>37045888</v>
          </cell>
        </row>
        <row r="38">
          <cell r="V38">
            <v>8348190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E 3X3 2010"/>
      <sheetName val="MAKE 3X3 2011"/>
      <sheetName val="MAKE 3X3 2012"/>
      <sheetName val="MAKE 3X3 2013"/>
      <sheetName val="MAKE 3X3 2014"/>
      <sheetName val="MAKE 3X3 2015"/>
      <sheetName val="MAKE 3X3 2016"/>
      <sheetName val="MAKE 3X3 2017"/>
      <sheetName val="USE R 3X3 2010"/>
      <sheetName val="USE R 3X3 2011"/>
      <sheetName val="USE R 3X3 2012"/>
      <sheetName val="USE R 3X3 2013"/>
      <sheetName val="USE R 3X3 2014"/>
      <sheetName val="USE R 3X3 2015"/>
      <sheetName val="USE R 3X3 2016"/>
      <sheetName val="USE R 3X3 2017"/>
      <sheetName val="USE Ker-száll 3X3 2010"/>
      <sheetName val="USE Ker-száll 3X3 2011"/>
      <sheetName val="USE Ker-száll 3X3 2012"/>
      <sheetName val="USE Ker-száll 3X3 2013"/>
      <sheetName val="USE Ker-száll 3X3 2014"/>
      <sheetName val="USE Ker-száll 3X3 2015"/>
      <sheetName val="USE Ker-száll 3X3 2016"/>
      <sheetName val="USE Ker-száll 3X3 2017"/>
      <sheetName val="USE Adó-tám 3X3 2010"/>
      <sheetName val="USE Adó-tám 3X3 2011"/>
      <sheetName val="USE Adó-tám 3X3 2012"/>
      <sheetName val="USE Adó-tám 3X3 2013"/>
      <sheetName val="USE Adó-tám 3X3 2014"/>
      <sheetName val="USE Adó-tám 3X3 2015"/>
      <sheetName val="USE Adó-tám 3X3 2016"/>
      <sheetName val="USE Adó-tám 3X3 2017"/>
      <sheetName val="USE AA 3X3 2010"/>
      <sheetName val="USE AA 3X3 2011"/>
      <sheetName val="USE AA 3X3 2012"/>
      <sheetName val="USE AA 3X3 2013"/>
      <sheetName val="USE AA 3X3 2014"/>
      <sheetName val="USE AA 3X3 2015"/>
      <sheetName val="USE AA 3X3 2016"/>
      <sheetName val="USE AA 3X3 2017"/>
      <sheetName val="USE Imp 3X3 2010"/>
      <sheetName val="USE Imp 3X3 2011"/>
      <sheetName val="USE Imp 3X3 2012"/>
      <sheetName val="USE Imp 3X3 2013"/>
      <sheetName val="USE Imp 3X3 2014"/>
      <sheetName val="USE Imp 3X3 2015"/>
      <sheetName val="USE Imp 3X3 2016"/>
      <sheetName val="USE Imp 3X3 2017"/>
      <sheetName val="USE AB 3X3 2010"/>
      <sheetName val="USE AB 3X3 2011"/>
      <sheetName val="USE AB 3X3 2012"/>
      <sheetName val="USE AB 3X3 2013"/>
      <sheetName val="USE AB 3X3 2014"/>
      <sheetName val="USE AB 3X3 2015"/>
      <sheetName val="USE AB 3X3 2016"/>
      <sheetName val="USE AB 3X3 2017"/>
      <sheetName val="ÁKM szerv 3X3 2010"/>
      <sheetName val="ÁKM szerv 3X3 2015"/>
      <sheetName val="IMP szerv 3X3 2010"/>
      <sheetName val="IMP szerv 3X3 2015"/>
      <sheetName val="ÁKM tev 3X3 2010"/>
      <sheetName val="ÁKM tev 3X3 2015"/>
      <sheetName val="IMP tev 3X3 2010"/>
      <sheetName val="IMP tev 3X3 2015"/>
      <sheetName val="Tény 2010"/>
      <sheetName val="Tény 2011"/>
      <sheetName val="Tény 2012"/>
      <sheetName val="Tény 2013"/>
      <sheetName val="Tény 2014"/>
      <sheetName val="Tény 2015"/>
      <sheetName val="Tény 2016"/>
      <sheetName val="Tény 2017"/>
      <sheetName val="Várható 2018"/>
      <sheetName val="Várható 2019"/>
      <sheetName val="Várható 2020"/>
      <sheetName val="Előrejelzés 2025"/>
      <sheetName val="A rendszer idősor"/>
      <sheetName val="Peremszámok"/>
      <sheetName val="Foglalkoztatottak"/>
      <sheetName val="Közfoglalkoztatotta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>
        <row r="15">
          <cell r="AD15">
            <v>3678800</v>
          </cell>
          <cell r="AE15">
            <v>416400</v>
          </cell>
          <cell r="AF15">
            <v>556398.92222221941</v>
          </cell>
          <cell r="AG15">
            <v>30285.832142856903</v>
          </cell>
          <cell r="AH15">
            <v>285300</v>
          </cell>
          <cell r="AI15">
            <v>723400</v>
          </cell>
          <cell r="AJ15">
            <v>9415.2456349236891</v>
          </cell>
          <cell r="AK15">
            <v>2675800</v>
          </cell>
        </row>
        <row r="16">
          <cell r="AD16">
            <v>3648200</v>
          </cell>
          <cell r="AE16">
            <v>400100</v>
          </cell>
          <cell r="AF16">
            <v>538027.95555555075</v>
          </cell>
          <cell r="AG16">
            <v>33967.295238095336</v>
          </cell>
          <cell r="AH16">
            <v>289200</v>
          </cell>
          <cell r="AI16">
            <v>740000</v>
          </cell>
          <cell r="AJ16">
            <v>27404.74920635391</v>
          </cell>
          <cell r="AK16">
            <v>2697300</v>
          </cell>
        </row>
        <row r="17">
          <cell r="AD17">
            <v>3646400</v>
          </cell>
          <cell r="AE17">
            <v>348800</v>
          </cell>
          <cell r="AF17">
            <v>519656.9888888821</v>
          </cell>
          <cell r="AG17">
            <v>37648.758333333768</v>
          </cell>
          <cell r="AH17">
            <v>289000</v>
          </cell>
          <cell r="AI17">
            <v>752000</v>
          </cell>
          <cell r="AJ17">
            <v>42594.252777784131</v>
          </cell>
          <cell r="AK17">
            <v>2731900</v>
          </cell>
        </row>
        <row r="18">
          <cell r="AD18">
            <v>3697800</v>
          </cell>
          <cell r="AE18">
            <v>313000</v>
          </cell>
          <cell r="AF18">
            <v>501286.0222222209</v>
          </cell>
          <cell r="AG18">
            <v>41330.221428571269</v>
          </cell>
          <cell r="AH18">
            <v>295500</v>
          </cell>
          <cell r="AI18">
            <v>697000</v>
          </cell>
          <cell r="AJ18">
            <v>23083.756349207833</v>
          </cell>
          <cell r="AK18">
            <v>2786400</v>
          </cell>
        </row>
        <row r="19">
          <cell r="AD19">
            <v>3811400</v>
          </cell>
          <cell r="AE19">
            <v>284700</v>
          </cell>
          <cell r="AF19">
            <v>482915.05555555224</v>
          </cell>
          <cell r="AG19">
            <v>45011.684523809701</v>
          </cell>
          <cell r="AH19">
            <v>295300</v>
          </cell>
          <cell r="AI19">
            <v>675600</v>
          </cell>
          <cell r="AJ19">
            <v>21873.259920638055</v>
          </cell>
          <cell r="AK19">
            <v>2719900</v>
          </cell>
        </row>
        <row r="20">
          <cell r="AD20">
            <v>3876200</v>
          </cell>
          <cell r="AE20">
            <v>263700</v>
          </cell>
          <cell r="AF20">
            <v>464544.08888888359</v>
          </cell>
          <cell r="AG20">
            <v>48693.147619047202</v>
          </cell>
          <cell r="AH20">
            <v>281400</v>
          </cell>
          <cell r="AI20">
            <v>721700</v>
          </cell>
          <cell r="AJ20">
            <v>58162.763492069207</v>
          </cell>
          <cell r="AK20">
            <v>2785900</v>
          </cell>
        </row>
        <row r="21">
          <cell r="AD21">
            <v>3883300</v>
          </cell>
          <cell r="AE21">
            <v>234100</v>
          </cell>
          <cell r="AF21">
            <v>446173.12222222239</v>
          </cell>
          <cell r="AG21">
            <v>52374.610714285634</v>
          </cell>
          <cell r="AH21">
            <v>286600</v>
          </cell>
          <cell r="AI21">
            <v>717900</v>
          </cell>
          <cell r="AJ21">
            <v>103052.26706349198</v>
          </cell>
          <cell r="AK21">
            <v>2788100</v>
          </cell>
        </row>
        <row r="22">
          <cell r="AD22">
            <v>3883700</v>
          </cell>
          <cell r="AE22">
            <v>238900</v>
          </cell>
          <cell r="AF22">
            <v>427802.15555555373</v>
          </cell>
          <cell r="AG22">
            <v>56056.073809524067</v>
          </cell>
          <cell r="AH22">
            <v>286800</v>
          </cell>
          <cell r="AI22">
            <v>738300</v>
          </cell>
          <cell r="AJ22">
            <v>109141.7706349222</v>
          </cell>
          <cell r="AK22">
            <v>2771000</v>
          </cell>
        </row>
        <row r="23">
          <cell r="AD23">
            <v>3921900</v>
          </cell>
          <cell r="AE23">
            <v>244500</v>
          </cell>
          <cell r="AF23">
            <v>409431.18888888508</v>
          </cell>
          <cell r="AG23">
            <v>59737.536904761568</v>
          </cell>
          <cell r="AH23">
            <v>286900</v>
          </cell>
          <cell r="AI23">
            <v>730700</v>
          </cell>
          <cell r="AJ23">
            <v>125831.27420635335</v>
          </cell>
          <cell r="AK23">
            <v>2730600</v>
          </cell>
        </row>
        <row r="24">
          <cell r="AD24">
            <v>3900400</v>
          </cell>
          <cell r="AE24">
            <v>252900</v>
          </cell>
          <cell r="AF24">
            <v>391060.22222221643</v>
          </cell>
          <cell r="AG24">
            <v>63419</v>
          </cell>
          <cell r="AH24">
            <v>282400</v>
          </cell>
          <cell r="AI24">
            <v>739800</v>
          </cell>
          <cell r="AJ24">
            <v>167920.77777778357</v>
          </cell>
          <cell r="AK24">
            <v>2716600</v>
          </cell>
        </row>
        <row r="25">
          <cell r="AD25">
            <v>3901500</v>
          </cell>
          <cell r="AE25">
            <v>303900</v>
          </cell>
          <cell r="AF25">
            <v>372689.25555555522</v>
          </cell>
          <cell r="AG25">
            <v>67100.463095238432</v>
          </cell>
          <cell r="AH25">
            <v>278600</v>
          </cell>
          <cell r="AI25">
            <v>740800</v>
          </cell>
          <cell r="AJ25">
            <v>150510.28134920634</v>
          </cell>
          <cell r="AK25">
            <v>2708000</v>
          </cell>
        </row>
        <row r="26">
          <cell r="AD26">
            <v>3928400</v>
          </cell>
          <cell r="AE26">
            <v>318300</v>
          </cell>
          <cell r="AF26">
            <v>354318.28888888657</v>
          </cell>
          <cell r="AG26">
            <v>70781.926190475933</v>
          </cell>
          <cell r="AH26">
            <v>261100.00000000003</v>
          </cell>
          <cell r="AI26">
            <v>811400</v>
          </cell>
          <cell r="AJ26">
            <v>99199.784920637496</v>
          </cell>
          <cell r="AK26">
            <v>2686300</v>
          </cell>
        </row>
        <row r="27">
          <cell r="AD27">
            <v>3902000</v>
          </cell>
          <cell r="AE27">
            <v>312100</v>
          </cell>
          <cell r="AF27">
            <v>335947.32222221792</v>
          </cell>
          <cell r="AG27">
            <v>74463.389285714366</v>
          </cell>
          <cell r="AH27">
            <v>273900</v>
          </cell>
          <cell r="AI27">
            <v>822700</v>
          </cell>
          <cell r="AJ27">
            <v>109289.28849206778</v>
          </cell>
          <cell r="AK27">
            <v>2706100</v>
          </cell>
        </row>
        <row r="28">
          <cell r="AD28">
            <v>3848300</v>
          </cell>
          <cell r="AE28">
            <v>326400</v>
          </cell>
          <cell r="AF28">
            <v>317576.35555554926</v>
          </cell>
          <cell r="AG28">
            <v>78144.852380952798</v>
          </cell>
          <cell r="AH28">
            <v>282200</v>
          </cell>
          <cell r="AI28">
            <v>814300</v>
          </cell>
          <cell r="AJ28">
            <v>153278.79206349794</v>
          </cell>
          <cell r="AK28">
            <v>2718300</v>
          </cell>
        </row>
        <row r="29">
          <cell r="AD29">
            <v>3747800</v>
          </cell>
          <cell r="AE29">
            <v>417800</v>
          </cell>
          <cell r="AF29">
            <v>299205.38888888806</v>
          </cell>
          <cell r="AG29">
            <v>81826.315476190299</v>
          </cell>
          <cell r="AH29">
            <v>282000</v>
          </cell>
          <cell r="AI29">
            <v>805700</v>
          </cell>
          <cell r="AJ29">
            <v>197368.29563492164</v>
          </cell>
          <cell r="AK29">
            <v>2706000</v>
          </cell>
        </row>
        <row r="30">
          <cell r="AD30">
            <v>3734300</v>
          </cell>
          <cell r="AE30">
            <v>469400</v>
          </cell>
          <cell r="AF30">
            <v>280834.42222221941</v>
          </cell>
          <cell r="AG30">
            <v>85507.778571428731</v>
          </cell>
          <cell r="AH30">
            <v>275900</v>
          </cell>
          <cell r="AI30">
            <v>805400</v>
          </cell>
          <cell r="AJ30">
            <v>191757.79920635186</v>
          </cell>
          <cell r="AK30">
            <v>2689900</v>
          </cell>
        </row>
        <row r="31">
          <cell r="AD31">
            <v>3759000</v>
          </cell>
          <cell r="AE31">
            <v>466000</v>
          </cell>
          <cell r="AF31">
            <v>262463.45555555075</v>
          </cell>
          <cell r="AG31">
            <v>83822</v>
          </cell>
          <cell r="AH31">
            <v>280700</v>
          </cell>
          <cell r="AI31">
            <v>783800</v>
          </cell>
          <cell r="AJ31">
            <v>211614.54444444925</v>
          </cell>
          <cell r="AK31">
            <v>2662700</v>
          </cell>
        </row>
        <row r="32">
          <cell r="AD32">
            <v>3827200</v>
          </cell>
          <cell r="AE32">
            <v>473100</v>
          </cell>
          <cell r="AF32">
            <v>244092.4888888821</v>
          </cell>
          <cell r="AG32">
            <v>90337.600000000006</v>
          </cell>
          <cell r="AH32">
            <v>263200</v>
          </cell>
          <cell r="AI32">
            <v>769600</v>
          </cell>
          <cell r="AJ32">
            <v>149869.91111111789</v>
          </cell>
          <cell r="AK32">
            <v>2667300</v>
          </cell>
        </row>
        <row r="33">
          <cell r="AD33">
            <v>3892700</v>
          </cell>
          <cell r="AE33">
            <v>440900</v>
          </cell>
          <cell r="AF33">
            <v>225721.5222222209</v>
          </cell>
          <cell r="AG33">
            <v>96853.200000000012</v>
          </cell>
          <cell r="AH33">
            <v>255400</v>
          </cell>
          <cell r="AI33">
            <v>737300</v>
          </cell>
          <cell r="AJ33">
            <v>143825.27777777909</v>
          </cell>
          <cell r="AK33">
            <v>2672100</v>
          </cell>
        </row>
        <row r="34">
          <cell r="AD34">
            <v>4100700</v>
          </cell>
          <cell r="AE34">
            <v>343300</v>
          </cell>
          <cell r="AF34">
            <v>182546.58333333337</v>
          </cell>
          <cell r="AG34">
            <v>103368.80000000002</v>
          </cell>
          <cell r="AH34">
            <v>237800</v>
          </cell>
          <cell r="AI34">
            <v>701200</v>
          </cell>
          <cell r="AJ34">
            <v>126584.61666666661</v>
          </cell>
          <cell r="AK34">
            <v>2641300</v>
          </cell>
        </row>
        <row r="35">
          <cell r="AD35">
            <v>4210500</v>
          </cell>
          <cell r="AE35">
            <v>307800</v>
          </cell>
          <cell r="AF35">
            <v>191906.08333333331</v>
          </cell>
          <cell r="AG35">
            <v>111513.30000000002</v>
          </cell>
          <cell r="AH35">
            <v>240000</v>
          </cell>
          <cell r="AI35">
            <v>688800</v>
          </cell>
          <cell r="AJ35">
            <v>64680.616666666669</v>
          </cell>
          <cell r="AK35">
            <v>2598100</v>
          </cell>
        </row>
        <row r="36">
          <cell r="AD36">
            <v>4351600</v>
          </cell>
          <cell r="AE36">
            <v>234600</v>
          </cell>
          <cell r="AF36">
            <v>202467.75</v>
          </cell>
          <cell r="AG36">
            <v>116400</v>
          </cell>
          <cell r="AH36">
            <v>242400</v>
          </cell>
          <cell r="AI36">
            <v>656300</v>
          </cell>
          <cell r="AJ36">
            <v>42332.25</v>
          </cell>
          <cell r="AK36">
            <v>2545700</v>
          </cell>
        </row>
        <row r="37">
          <cell r="AD37">
            <v>4421300</v>
          </cell>
          <cell r="AE37">
            <v>191800</v>
          </cell>
          <cell r="AF37">
            <v>164585.08333333337</v>
          </cell>
          <cell r="AG37">
            <v>109600</v>
          </cell>
          <cell r="AH37">
            <v>233100</v>
          </cell>
          <cell r="AI37">
            <v>636500</v>
          </cell>
          <cell r="AJ37">
            <v>87814.916666666628</v>
          </cell>
          <cell r="AK37">
            <v>2520800</v>
          </cell>
        </row>
        <row r="38">
          <cell r="AD38">
            <v>4469500</v>
          </cell>
          <cell r="AE38">
            <v>171900</v>
          </cell>
          <cell r="AF38">
            <v>125908.33333333334</v>
          </cell>
          <cell r="AG38">
            <v>104700</v>
          </cell>
          <cell r="AH38">
            <v>232074</v>
          </cell>
          <cell r="AI38">
            <v>627598</v>
          </cell>
          <cell r="AJ38">
            <v>137791.66666666666</v>
          </cell>
          <cell r="AK38">
            <v>2480147</v>
          </cell>
        </row>
        <row r="39">
          <cell r="AD39">
            <v>4512100</v>
          </cell>
          <cell r="AE39">
            <v>159700</v>
          </cell>
          <cell r="AF39">
            <v>101125</v>
          </cell>
          <cell r="AG39">
            <v>118640.9464285709</v>
          </cell>
          <cell r="AH39">
            <v>226200</v>
          </cell>
          <cell r="AI39">
            <v>618400</v>
          </cell>
          <cell r="AJ39">
            <v>145834.0535714291</v>
          </cell>
          <cell r="AK39">
            <v>2467700</v>
          </cell>
        </row>
      </sheetData>
      <sheetData sheetId="7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ruttó eszközállomány"/>
      <sheetName val="Br eszközállomány UMD"/>
      <sheetName val="Nettó eszközállomány"/>
      <sheetName val="N eszközállomány UMD"/>
    </sheetNames>
    <sheetDataSet>
      <sheetData sheetId="0"/>
      <sheetData sheetId="1"/>
      <sheetData sheetId="2">
        <row r="12">
          <cell r="B12">
            <v>26589</v>
          </cell>
          <cell r="C12">
            <v>0</v>
          </cell>
        </row>
        <row r="13">
          <cell r="B13">
            <v>33823</v>
          </cell>
          <cell r="C13">
            <v>26835</v>
          </cell>
        </row>
        <row r="14">
          <cell r="B14">
            <v>41530</v>
          </cell>
          <cell r="C14">
            <v>34361</v>
          </cell>
        </row>
        <row r="15">
          <cell r="B15">
            <v>47406</v>
          </cell>
          <cell r="C15">
            <v>42171</v>
          </cell>
        </row>
        <row r="16">
          <cell r="B16">
            <v>55852</v>
          </cell>
          <cell r="C16">
            <v>48398</v>
          </cell>
        </row>
        <row r="17">
          <cell r="B17">
            <v>62442</v>
          </cell>
          <cell r="C17">
            <v>56537</v>
          </cell>
        </row>
        <row r="18">
          <cell r="B18">
            <v>68500</v>
          </cell>
          <cell r="C18">
            <v>63561</v>
          </cell>
        </row>
        <row r="19">
          <cell r="B19">
            <v>72222</v>
          </cell>
          <cell r="C19">
            <v>69834</v>
          </cell>
        </row>
        <row r="20">
          <cell r="B20">
            <v>76934</v>
          </cell>
          <cell r="C20">
            <v>73327</v>
          </cell>
        </row>
        <row r="21">
          <cell r="B21">
            <v>81570</v>
          </cell>
          <cell r="C21">
            <v>78430</v>
          </cell>
        </row>
        <row r="22">
          <cell r="B22">
            <v>86016</v>
          </cell>
          <cell r="C22">
            <v>83118</v>
          </cell>
        </row>
        <row r="23">
          <cell r="B23">
            <v>93774</v>
          </cell>
          <cell r="C23">
            <v>87604</v>
          </cell>
        </row>
        <row r="24">
          <cell r="B24">
            <v>100692</v>
          </cell>
          <cell r="C24">
            <v>95458</v>
          </cell>
        </row>
        <row r="25">
          <cell r="B25">
            <v>107826</v>
          </cell>
          <cell r="C25">
            <v>102623</v>
          </cell>
        </row>
        <row r="26">
          <cell r="B26">
            <v>112232</v>
          </cell>
          <cell r="C26">
            <v>108917</v>
          </cell>
        </row>
        <row r="27">
          <cell r="B27">
            <v>114583</v>
          </cell>
          <cell r="C27">
            <v>112643</v>
          </cell>
        </row>
        <row r="28">
          <cell r="B28">
            <v>117646</v>
          </cell>
          <cell r="C28">
            <v>114854</v>
          </cell>
        </row>
        <row r="29">
          <cell r="B29">
            <v>119406</v>
          </cell>
          <cell r="C29">
            <v>116438</v>
          </cell>
        </row>
        <row r="30">
          <cell r="B30">
            <v>123514</v>
          </cell>
          <cell r="C30">
            <v>121188</v>
          </cell>
        </row>
        <row r="31">
          <cell r="B31">
            <v>127048</v>
          </cell>
          <cell r="C31">
            <v>124665</v>
          </cell>
        </row>
        <row r="32">
          <cell r="B32">
            <v>131473</v>
          </cell>
          <cell r="C32">
            <v>128476</v>
          </cell>
        </row>
        <row r="33">
          <cell r="B33">
            <v>135658</v>
          </cell>
          <cell r="C33">
            <v>132195</v>
          </cell>
        </row>
        <row r="34">
          <cell r="B34">
            <v>146887</v>
          </cell>
          <cell r="C34">
            <v>137571</v>
          </cell>
        </row>
        <row r="35">
          <cell r="B35">
            <v>162934</v>
          </cell>
          <cell r="C35">
            <v>150011</v>
          </cell>
        </row>
      </sheetData>
      <sheetData sheetId="3">
        <row r="32">
          <cell r="X32">
            <v>11326.844306227216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Hungary"/>
      <sheetName val="Select a Country"/>
      <sheetName val="Compare"/>
      <sheetName val="Wealth_graphs"/>
      <sheetName val="Natural capital_graphs"/>
      <sheetName val="Income"/>
      <sheetName val="Region"/>
      <sheetName val="Region_developing"/>
      <sheetName val="country_bal"/>
      <sheetName val="country_pop"/>
      <sheetName val="class"/>
    </sheetNames>
    <sheetDataSet>
      <sheetData sheetId="0"/>
      <sheetData sheetId="1">
        <row r="32">
          <cell r="C32">
            <v>101189719.28616658</v>
          </cell>
          <cell r="D32">
            <v>113086436.26706672</v>
          </cell>
          <cell r="E32">
            <v>129744042.29000151</v>
          </cell>
          <cell r="F32">
            <v>145322467.41055915</v>
          </cell>
          <cell r="G32">
            <v>150717341.02920231</v>
          </cell>
        </row>
        <row r="33">
          <cell r="C33">
            <v>153236266.42256999</v>
          </cell>
          <cell r="D33">
            <v>168814492.41795754</v>
          </cell>
          <cell r="E33">
            <v>206846776.308837</v>
          </cell>
          <cell r="F33">
            <v>204791432.26981592</v>
          </cell>
          <cell r="G33">
            <v>235767983.98682913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KE 3X3 2010"/>
      <sheetName val="MAKE 3X3 2011"/>
      <sheetName val="MAKE 3X3 2012"/>
      <sheetName val="MAKE 3X3 2013"/>
      <sheetName val="MAKE 3X3 2014"/>
      <sheetName val="MAKE 3X3 2015"/>
      <sheetName val="MAKE 3X3 2016"/>
      <sheetName val="MAKE 3X3 2017"/>
      <sheetName val="USE R 3X3 2010"/>
      <sheetName val="USE R 3X3 2011"/>
      <sheetName val="USE R 3X3 2012"/>
      <sheetName val="USE R 3X3 2013"/>
      <sheetName val="USE R 3X3 2014"/>
      <sheetName val="USE R 3X3 2015"/>
      <sheetName val="USE R 3X3 2016"/>
      <sheetName val="USE R 3X3 2017"/>
      <sheetName val="USE Ker-száll 3X3 2010"/>
      <sheetName val="USE Ker-száll 3X3 2011"/>
      <sheetName val="USE Ker-száll 3X3 2012"/>
      <sheetName val="USE Ker-száll 3X3 2013"/>
      <sheetName val="USE Ker-száll 3X3 2014"/>
      <sheetName val="USE Ker-száll 3X3 2015"/>
      <sheetName val="USE Ker-száll 3X3 2016"/>
      <sheetName val="USE Ker-száll 3X3 2017"/>
      <sheetName val="USE Adó-tám 3X3 2010"/>
      <sheetName val="USE Adó-tám 3X3 2011"/>
      <sheetName val="USE Adó-tám 3X3 2012"/>
      <sheetName val="USE Adó-tám 3X3 2013"/>
      <sheetName val="USE Adó-tám 3X3 2014"/>
      <sheetName val="USE Adó-tám 3X3 2015"/>
      <sheetName val="USE Adó-tám 3X3 2016"/>
      <sheetName val="USE Adó-tám 3X3 2017"/>
      <sheetName val="USE AA 3X3 2010"/>
      <sheetName val="USE AA 3X3 2011"/>
      <sheetName val="USE AA 3X3 2012"/>
      <sheetName val="USE AA 3X3 2013"/>
      <sheetName val="USE AA 3X3 2014"/>
      <sheetName val="USE AA 3X3 2015"/>
      <sheetName val="USE AA 3X3 2016"/>
      <sheetName val="USE AA 3X3 2017"/>
      <sheetName val="USE Imp 3X3 2010"/>
      <sheetName val="USE Imp 3X3 2011"/>
      <sheetName val="USE Imp 3X3 2012"/>
      <sheetName val="USE Imp 3X3 2013"/>
      <sheetName val="USE Imp 3X3 2014"/>
      <sheetName val="USE Imp 3X3 2015"/>
      <sheetName val="USE Imp 3X3 2016"/>
      <sheetName val="USE Imp 3X3 2017"/>
      <sheetName val="USE AB 3X3 2010"/>
      <sheetName val="USE AB 3X3 2011"/>
      <sheetName val="USE AB 3X3 2012"/>
      <sheetName val="USE AB 3X3 2013"/>
      <sheetName val="USE AB 3X3 2014"/>
      <sheetName val="USE AB 3X3 2015"/>
      <sheetName val="USE AB 3X3 2016"/>
      <sheetName val="USE AB 3X3 2017"/>
      <sheetName val="ÁKM szerv 3X3 2010"/>
      <sheetName val="ÁKM szerv 3X3 2015"/>
      <sheetName val="IMP szerv 3X3 2010"/>
      <sheetName val="IMP szerv 3X3 2015"/>
      <sheetName val="ÁKM tev 3X3 2010"/>
      <sheetName val="ÁKM tev 3X3 2015"/>
      <sheetName val="IMP tev 3X3 2010"/>
      <sheetName val="IMP tev 3X3 2015"/>
      <sheetName val="Tény 2010"/>
      <sheetName val="Tény 2011"/>
      <sheetName val="Tény 2012"/>
      <sheetName val="Tény 2013"/>
      <sheetName val="Tény 2014"/>
      <sheetName val="Tény 2015"/>
      <sheetName val="Tény 2016"/>
      <sheetName val="Tény 2017"/>
      <sheetName val="Várható 2018"/>
      <sheetName val="Várható 2019"/>
      <sheetName val="Várható 2020"/>
      <sheetName val="Előrejelzés 2025"/>
      <sheetName val="A rendszer idősor"/>
      <sheetName val="Peremszámok"/>
      <sheetName val="Foglalkoztatottak"/>
      <sheetName val="Közfoglalkoztatotta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9">
          <cell r="C9" t="str">
            <v>U</v>
          </cell>
        </row>
      </sheetData>
      <sheetData sheetId="9"/>
      <sheetData sheetId="10"/>
      <sheetData sheetId="11"/>
      <sheetData sheetId="12"/>
      <sheetData sheetId="13">
        <row r="9">
          <cell r="C9" t="str">
            <v>U</v>
          </cell>
        </row>
      </sheetData>
      <sheetData sheetId="14"/>
      <sheetData sheetId="15"/>
      <sheetData sheetId="16">
        <row r="10">
          <cell r="B10" t="str">
            <v>U</v>
          </cell>
        </row>
      </sheetData>
      <sheetData sheetId="17"/>
      <sheetData sheetId="18"/>
      <sheetData sheetId="19"/>
      <sheetData sheetId="20"/>
      <sheetData sheetId="21">
        <row r="10">
          <cell r="B10" t="str">
            <v>U</v>
          </cell>
        </row>
      </sheetData>
      <sheetData sheetId="22"/>
      <sheetData sheetId="23"/>
      <sheetData sheetId="24">
        <row r="10">
          <cell r="B10" t="str">
            <v>U</v>
          </cell>
        </row>
      </sheetData>
      <sheetData sheetId="25"/>
      <sheetData sheetId="26"/>
      <sheetData sheetId="27"/>
      <sheetData sheetId="28"/>
      <sheetData sheetId="29">
        <row r="10">
          <cell r="B10" t="str">
            <v>U</v>
          </cell>
        </row>
      </sheetData>
      <sheetData sheetId="30"/>
      <sheetData sheetId="31"/>
      <sheetData sheetId="32">
        <row r="10">
          <cell r="B10" t="str">
            <v>U</v>
          </cell>
        </row>
      </sheetData>
      <sheetData sheetId="33"/>
      <sheetData sheetId="34"/>
      <sheetData sheetId="35"/>
      <sheetData sheetId="36"/>
      <sheetData sheetId="37">
        <row r="10">
          <cell r="B10" t="str">
            <v>U</v>
          </cell>
        </row>
      </sheetData>
      <sheetData sheetId="38"/>
      <sheetData sheetId="39"/>
      <sheetData sheetId="40">
        <row r="10">
          <cell r="B10" t="str">
            <v>U</v>
          </cell>
        </row>
      </sheetData>
      <sheetData sheetId="41"/>
      <sheetData sheetId="42"/>
      <sheetData sheetId="43"/>
      <sheetData sheetId="44"/>
      <sheetData sheetId="45">
        <row r="10">
          <cell r="B10" t="str">
            <v>U</v>
          </cell>
        </row>
      </sheetData>
      <sheetData sheetId="46"/>
      <sheetData sheetId="47"/>
      <sheetData sheetId="48">
        <row r="10">
          <cell r="B10" t="str">
            <v>U</v>
          </cell>
        </row>
      </sheetData>
      <sheetData sheetId="49"/>
      <sheetData sheetId="50"/>
      <sheetData sheetId="51"/>
      <sheetData sheetId="52"/>
      <sheetData sheetId="53">
        <row r="10">
          <cell r="B10" t="str">
            <v>U</v>
          </cell>
        </row>
      </sheetData>
      <sheetData sheetId="54"/>
      <sheetData sheetId="55"/>
      <sheetData sheetId="56">
        <row r="10">
          <cell r="B10" t="str">
            <v>U</v>
          </cell>
        </row>
      </sheetData>
      <sheetData sheetId="57">
        <row r="10">
          <cell r="B10" t="str">
            <v>U</v>
          </cell>
        </row>
      </sheetData>
      <sheetData sheetId="58"/>
      <sheetData sheetId="59"/>
      <sheetData sheetId="60"/>
      <sheetData sheetId="61"/>
      <sheetData sheetId="62"/>
      <sheetData sheetId="63"/>
      <sheetData sheetId="64">
        <row r="91">
          <cell r="D91">
            <v>1456837</v>
          </cell>
        </row>
      </sheetData>
      <sheetData sheetId="65"/>
      <sheetData sheetId="66"/>
      <sheetData sheetId="67"/>
      <sheetData sheetId="68"/>
      <sheetData sheetId="69">
        <row r="91">
          <cell r="D91">
            <v>1568822</v>
          </cell>
          <cell r="E91">
            <v>3870141</v>
          </cell>
          <cell r="F91">
            <v>844531</v>
          </cell>
          <cell r="K91">
            <v>1315093</v>
          </cell>
          <cell r="O91">
            <v>540240</v>
          </cell>
          <cell r="S91">
            <v>2894471</v>
          </cell>
        </row>
        <row r="92">
          <cell r="D92">
            <v>1479323</v>
          </cell>
          <cell r="E92">
            <v>7391704</v>
          </cell>
          <cell r="F92">
            <v>1931594</v>
          </cell>
          <cell r="K92">
            <v>6640335</v>
          </cell>
          <cell r="O92">
            <v>4620851</v>
          </cell>
          <cell r="S92">
            <v>23419481</v>
          </cell>
        </row>
        <row r="93">
          <cell r="D93">
            <v>205093</v>
          </cell>
          <cell r="E93">
            <v>537661</v>
          </cell>
          <cell r="F93">
            <v>511108</v>
          </cell>
          <cell r="K93">
            <v>10842645</v>
          </cell>
          <cell r="O93">
            <v>93760</v>
          </cell>
          <cell r="S93">
            <v>292091</v>
          </cell>
        </row>
        <row r="95">
          <cell r="D95">
            <v>1816771</v>
          </cell>
          <cell r="E95">
            <v>17117635</v>
          </cell>
          <cell r="F95">
            <v>1136521</v>
          </cell>
          <cell r="K95">
            <v>2733238</v>
          </cell>
          <cell r="O95">
            <v>2307938</v>
          </cell>
          <cell r="S95">
            <v>2525763</v>
          </cell>
        </row>
        <row r="96">
          <cell r="D96">
            <v>265620</v>
          </cell>
          <cell r="E96">
            <v>529385</v>
          </cell>
          <cell r="F96">
            <v>534573</v>
          </cell>
          <cell r="K96">
            <v>3353219</v>
          </cell>
          <cell r="O96">
            <v>542706</v>
          </cell>
          <cell r="S96">
            <v>301239</v>
          </cell>
        </row>
        <row r="97">
          <cell r="K97">
            <v>24884530</v>
          </cell>
          <cell r="O97">
            <v>8105495</v>
          </cell>
          <cell r="S97">
            <v>29433045</v>
          </cell>
        </row>
        <row r="98">
          <cell r="D98">
            <v>2717902</v>
          </cell>
          <cell r="E98">
            <v>6570894</v>
          </cell>
          <cell r="F98">
            <v>5305876</v>
          </cell>
        </row>
        <row r="100">
          <cell r="D100">
            <v>-263878</v>
          </cell>
          <cell r="E100">
            <v>195670</v>
          </cell>
          <cell r="F100">
            <v>-4445</v>
          </cell>
        </row>
        <row r="101">
          <cell r="D101">
            <v>831554</v>
          </cell>
          <cell r="E101">
            <v>3653638</v>
          </cell>
          <cell r="F101">
            <v>1281399</v>
          </cell>
        </row>
        <row r="102">
          <cell r="D102">
            <v>2412091</v>
          </cell>
          <cell r="E102">
            <v>5616560</v>
          </cell>
          <cell r="F102">
            <v>941201</v>
          </cell>
        </row>
        <row r="106">
          <cell r="D106">
            <v>11033298</v>
          </cell>
          <cell r="E106">
            <v>45483288</v>
          </cell>
          <cell r="F106">
            <v>12482358</v>
          </cell>
        </row>
      </sheetData>
      <sheetData sheetId="70"/>
      <sheetData sheetId="71"/>
      <sheetData sheetId="72"/>
      <sheetData sheetId="73"/>
      <sheetData sheetId="74"/>
      <sheetData sheetId="75"/>
      <sheetData sheetId="76"/>
      <sheetData sheetId="77">
        <row r="2">
          <cell r="C2" t="str">
            <v>Kibocsátás</v>
          </cell>
        </row>
      </sheetData>
      <sheetData sheetId="78"/>
      <sheetData sheetId="7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talom"/>
      <sheetName val="ÁKM20"/>
      <sheetName val="ÁKM agg 3x3"/>
      <sheetName val="addras"/>
      <sheetName val="Data48"/>
      <sheetName val="ImpMat"/>
      <sheetName val="Data46"/>
      <sheetName val="ValAdd"/>
      <sheetName val="AggrSema"/>
      <sheetName val="AggrSema3"/>
      <sheetName val="AggrSema2"/>
      <sheetName val="4x4"/>
      <sheetName val="3x3"/>
      <sheetName val="2x2"/>
      <sheetName val="CompareHH"/>
      <sheetName val="Module1"/>
    </sheetNames>
    <sheetDataSet>
      <sheetData sheetId="0" refreshError="1"/>
      <sheetData sheetId="1" refreshError="1"/>
      <sheetData sheetId="2">
        <row r="4">
          <cell r="C4">
            <v>2007006.3194671248</v>
          </cell>
          <cell r="D4">
            <v>5332250.3287336044</v>
          </cell>
          <cell r="E4">
            <v>1212129.9336956255</v>
          </cell>
          <cell r="G4">
            <v>1745068.1515240443</v>
          </cell>
          <cell r="H4">
            <v>689904.55330741988</v>
          </cell>
          <cell r="I4">
            <v>3602662.6041352334</v>
          </cell>
        </row>
        <row r="5">
          <cell r="C5">
            <v>1922706.2767032655</v>
          </cell>
          <cell r="D5">
            <v>9866749.4533753302</v>
          </cell>
          <cell r="E5">
            <v>2694416.8245186168</v>
          </cell>
          <cell r="G5">
            <v>9280674.0354619268</v>
          </cell>
          <cell r="H5">
            <v>7873791.590345663</v>
          </cell>
          <cell r="I5">
            <v>29335421.21889212</v>
          </cell>
        </row>
        <row r="6">
          <cell r="C6">
            <v>270951.61875895166</v>
          </cell>
          <cell r="D6">
            <v>752097.19513604604</v>
          </cell>
          <cell r="E6">
            <v>655166.31648955913</v>
          </cell>
          <cell r="G6">
            <v>15205464.586466698</v>
          </cell>
          <cell r="H6">
            <v>153020.42030537964</v>
          </cell>
          <cell r="I6">
            <v>386870.91408243286</v>
          </cell>
        </row>
        <row r="8">
          <cell r="C8">
            <v>2279575.2783351624</v>
          </cell>
          <cell r="D8">
            <v>22350598.335482948</v>
          </cell>
          <cell r="E8">
            <v>1517567.3825852259</v>
          </cell>
          <cell r="G8">
            <v>3629525.4558238075</v>
          </cell>
          <cell r="H8">
            <v>3621229.7033456014</v>
          </cell>
          <cell r="I8">
            <v>3295791.4678807212</v>
          </cell>
        </row>
        <row r="9">
          <cell r="C9">
            <v>327608.59402399464</v>
          </cell>
          <cell r="D9">
            <v>716034.69966378517</v>
          </cell>
          <cell r="E9">
            <v>724678.44303075573</v>
          </cell>
          <cell r="G9">
            <v>4384488.8327751886</v>
          </cell>
          <cell r="H9">
            <v>847828.7326959332</v>
          </cell>
          <cell r="I9">
            <v>386010.64516620315</v>
          </cell>
        </row>
        <row r="10">
          <cell r="G10">
            <v>34245221.062051669</v>
          </cell>
          <cell r="H10">
            <v>13185774.999999996</v>
          </cell>
          <cell r="I10">
            <v>37006756.85015671</v>
          </cell>
        </row>
        <row r="11">
          <cell r="C11">
            <v>3203242.6745924912</v>
          </cell>
          <cell r="D11">
            <v>7918403.033048505</v>
          </cell>
          <cell r="E11">
            <v>6307240.1691827737</v>
          </cell>
        </row>
        <row r="12">
          <cell r="C12">
            <v>203312.3789568909</v>
          </cell>
          <cell r="D12">
            <v>1538067.4515245154</v>
          </cell>
          <cell r="E12">
            <v>982814.19002967002</v>
          </cell>
        </row>
        <row r="13">
          <cell r="C13">
            <v>1187707.9744052517</v>
          </cell>
          <cell r="D13">
            <v>5219870.7031280641</v>
          </cell>
          <cell r="E13">
            <v>1855712.3224666845</v>
          </cell>
        </row>
        <row r="14">
          <cell r="C14">
            <v>3186910.8890660624</v>
          </cell>
          <cell r="D14">
            <v>7279688.681552276</v>
          </cell>
          <cell r="E14">
            <v>1473845.530968097</v>
          </cell>
        </row>
        <row r="16">
          <cell r="C16">
            <v>14589022.004309196</v>
          </cell>
          <cell r="D16">
            <v>60973759.881645083</v>
          </cell>
          <cell r="E16">
            <v>17423571.112967007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F7F32C-52C7-4155-A768-CEE4DFC30CD9}">
  <dimension ref="A2:U16"/>
  <sheetViews>
    <sheetView tabSelected="1" workbookViewId="0"/>
  </sheetViews>
  <sheetFormatPr defaultRowHeight="14.5" x14ac:dyDescent="0.35"/>
  <cols>
    <col min="1" max="1" width="8.81640625" style="183"/>
    <col min="2" max="2" width="3.7265625" style="183" customWidth="1"/>
    <col min="3" max="3" width="3.7265625" customWidth="1"/>
    <col min="4" max="4" width="32.26953125" bestFit="1" customWidth="1"/>
    <col min="5" max="5" width="2.81640625" style="183" bestFit="1" customWidth="1"/>
  </cols>
  <sheetData>
    <row r="2" spans="2:21" x14ac:dyDescent="0.35">
      <c r="F2">
        <v>2010</v>
      </c>
      <c r="G2">
        <v>2011</v>
      </c>
      <c r="H2" s="183">
        <v>2012</v>
      </c>
      <c r="I2" s="183">
        <v>2013</v>
      </c>
      <c r="J2" s="183">
        <v>2014</v>
      </c>
      <c r="K2" s="183">
        <v>2015</v>
      </c>
      <c r="L2" s="183">
        <v>2016</v>
      </c>
      <c r="M2" s="183">
        <v>2017</v>
      </c>
      <c r="N2" s="183">
        <v>2018</v>
      </c>
      <c r="O2" s="183">
        <v>2019</v>
      </c>
      <c r="P2" s="183">
        <v>2020</v>
      </c>
      <c r="Q2" s="183">
        <v>2021</v>
      </c>
      <c r="R2" s="183">
        <v>2022</v>
      </c>
      <c r="S2" s="183">
        <v>2023</v>
      </c>
      <c r="T2" s="183">
        <v>2024</v>
      </c>
      <c r="U2" s="183">
        <v>2025</v>
      </c>
    </row>
    <row r="3" spans="2:21" s="183" customFormat="1" x14ac:dyDescent="0.35">
      <c r="B3" s="183" t="s">
        <v>1136</v>
      </c>
    </row>
    <row r="4" spans="2:21" x14ac:dyDescent="0.35">
      <c r="C4" t="s">
        <v>1129</v>
      </c>
    </row>
    <row r="5" spans="2:21" s="183" customFormat="1" ht="16.5" x14ac:dyDescent="0.35">
      <c r="D5" s="183" t="s">
        <v>1130</v>
      </c>
      <c r="E5" s="183" t="s">
        <v>1133</v>
      </c>
      <c r="Q5" s="329" t="s">
        <v>1128</v>
      </c>
      <c r="R5" s="329"/>
      <c r="S5" s="329"/>
      <c r="T5" s="329"/>
      <c r="U5" s="329"/>
    </row>
    <row r="6" spans="2:21" s="183" customFormat="1" ht="16.5" x14ac:dyDescent="0.35">
      <c r="D6" s="183" t="s">
        <v>1131</v>
      </c>
      <c r="E6" s="183" t="s">
        <v>1134</v>
      </c>
      <c r="Q6" s="329" t="s">
        <v>1128</v>
      </c>
      <c r="R6" s="329"/>
      <c r="S6" s="329"/>
      <c r="T6" s="329"/>
      <c r="U6" s="329"/>
    </row>
    <row r="7" spans="2:21" s="183" customFormat="1" ht="16.5" x14ac:dyDescent="0.35">
      <c r="D7" s="183" t="s">
        <v>1132</v>
      </c>
      <c r="E7" s="183" t="s">
        <v>1135</v>
      </c>
      <c r="Q7" s="329" t="s">
        <v>1128</v>
      </c>
      <c r="R7" s="329"/>
      <c r="S7" s="329"/>
      <c r="T7" s="329"/>
      <c r="U7" s="329"/>
    </row>
    <row r="8" spans="2:21" s="183" customFormat="1" x14ac:dyDescent="0.35"/>
    <row r="9" spans="2:21" x14ac:dyDescent="0.35">
      <c r="C9" t="s">
        <v>1156</v>
      </c>
      <c r="F9" s="188" t="s">
        <v>1128</v>
      </c>
      <c r="G9" s="188" t="s">
        <v>1128</v>
      </c>
      <c r="H9" s="188" t="s">
        <v>1128</v>
      </c>
      <c r="I9" s="188" t="s">
        <v>1128</v>
      </c>
      <c r="J9" s="188" t="s">
        <v>1128</v>
      </c>
      <c r="K9" s="188" t="s">
        <v>1128</v>
      </c>
      <c r="L9" s="188" t="s">
        <v>1128</v>
      </c>
      <c r="M9" s="188" t="s">
        <v>1128</v>
      </c>
      <c r="N9" s="188" t="s">
        <v>1128</v>
      </c>
      <c r="O9" s="188" t="s">
        <v>1128</v>
      </c>
      <c r="P9" s="188" t="s">
        <v>1128</v>
      </c>
      <c r="Q9" s="188" t="s">
        <v>1128</v>
      </c>
      <c r="R9" s="188" t="s">
        <v>1128</v>
      </c>
      <c r="S9" s="188" t="s">
        <v>1128</v>
      </c>
      <c r="T9" s="188" t="s">
        <v>1128</v>
      </c>
      <c r="U9" s="188" t="s">
        <v>1128</v>
      </c>
    </row>
    <row r="11" spans="2:21" x14ac:dyDescent="0.35">
      <c r="C11" t="s">
        <v>1157</v>
      </c>
      <c r="G11" s="188" t="s">
        <v>1128</v>
      </c>
      <c r="H11" s="188" t="s">
        <v>1128</v>
      </c>
      <c r="I11" s="188" t="s">
        <v>1128</v>
      </c>
      <c r="J11" s="188" t="s">
        <v>1128</v>
      </c>
      <c r="K11" s="188" t="s">
        <v>1128</v>
      </c>
      <c r="L11" s="188" t="s">
        <v>1128</v>
      </c>
      <c r="M11" s="188" t="s">
        <v>1128</v>
      </c>
      <c r="N11" s="188" t="s">
        <v>1128</v>
      </c>
      <c r="O11" s="188" t="s">
        <v>1128</v>
      </c>
      <c r="P11" s="188" t="s">
        <v>1128</v>
      </c>
      <c r="Q11" s="188" t="s">
        <v>1128</v>
      </c>
      <c r="R11" s="188" t="s">
        <v>1128</v>
      </c>
      <c r="S11" s="188" t="s">
        <v>1128</v>
      </c>
      <c r="T11" s="188" t="s">
        <v>1128</v>
      </c>
      <c r="U11" s="188" t="s">
        <v>1128</v>
      </c>
    </row>
    <row r="13" spans="2:21" x14ac:dyDescent="0.35">
      <c r="B13" s="183" t="s">
        <v>1137</v>
      </c>
    </row>
    <row r="14" spans="2:21" x14ac:dyDescent="0.35">
      <c r="C14" t="s">
        <v>1138</v>
      </c>
    </row>
    <row r="15" spans="2:21" x14ac:dyDescent="0.35">
      <c r="D15" t="s">
        <v>1156</v>
      </c>
      <c r="F15" s="188"/>
      <c r="G15" s="188" t="s">
        <v>1128</v>
      </c>
      <c r="H15" s="188"/>
      <c r="I15" s="188"/>
      <c r="J15" s="188"/>
      <c r="K15" s="188" t="s">
        <v>1128</v>
      </c>
      <c r="L15" s="188"/>
      <c r="M15" s="188"/>
      <c r="N15" s="188"/>
      <c r="O15" s="188"/>
      <c r="P15" s="188" t="s">
        <v>1128</v>
      </c>
      <c r="Q15" s="188"/>
      <c r="R15" s="188"/>
      <c r="S15" s="188"/>
      <c r="T15" s="188"/>
    </row>
    <row r="16" spans="2:21" x14ac:dyDescent="0.35">
      <c r="D16" t="s">
        <v>1158</v>
      </c>
      <c r="U16" s="188" t="s">
        <v>1128</v>
      </c>
    </row>
  </sheetData>
  <sheetProtection algorithmName="SHA-512" hashValue="QaLHdeupDYzqu1ttaZjYGkniJt2vauO0RFwvXXJKHbm7lrNnmYp7HGEaGaW7YedNlc+yQ8xGc5FzgwkHuhi6MA==" saltValue="GnS4h20XTf23J8Pq1K0q2Q==" spinCount="100000" sheet="1" formatCells="0" formatColumns="0" formatRows="0" insertColumns="0" insertRows="0" insertHyperlinks="0" deleteColumns="0" deleteRows="0"/>
  <mergeCells count="3">
    <mergeCell ref="Q5:U5"/>
    <mergeCell ref="Q6:U6"/>
    <mergeCell ref="Q7:U7"/>
  </mergeCells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B1F07-BF30-415B-9032-5B0BF38375F7}">
  <dimension ref="B1:CX79"/>
  <sheetViews>
    <sheetView workbookViewId="0">
      <selection activeCell="N79" sqref="N79"/>
    </sheetView>
  </sheetViews>
  <sheetFormatPr defaultRowHeight="14.5" x14ac:dyDescent="0.35"/>
  <cols>
    <col min="1" max="1" width="3.54296875" customWidth="1"/>
    <col min="2" max="2" width="11.81640625" customWidth="1"/>
    <col min="3" max="6" width="12.7265625" customWidth="1"/>
    <col min="7" max="7" width="4.7265625" bestFit="1" customWidth="1"/>
    <col min="8" max="31" width="12.7265625" customWidth="1"/>
    <col min="32" max="32" width="4.54296875" bestFit="1" customWidth="1"/>
    <col min="33" max="37" width="12.7265625" customWidth="1"/>
    <col min="38" max="38" width="4.7265625" bestFit="1" customWidth="1"/>
    <col min="39" max="43" width="12.7265625" customWidth="1"/>
    <col min="44" max="44" width="4.54296875" bestFit="1" customWidth="1"/>
    <col min="45" max="76" width="12.7265625" customWidth="1"/>
    <col min="77" max="77" width="4.54296875" bestFit="1" customWidth="1"/>
    <col min="78" max="82" width="12.7265625" customWidth="1"/>
    <col min="83" max="83" width="5.453125" bestFit="1" customWidth="1"/>
    <col min="84" max="88" width="12.7265625" customWidth="1"/>
    <col min="89" max="89" width="4.7265625" customWidth="1"/>
    <col min="90" max="94" width="12.7265625" customWidth="1"/>
    <col min="95" max="95" width="4.7265625" bestFit="1" customWidth="1"/>
    <col min="96" max="96" width="10.54296875" bestFit="1" customWidth="1"/>
    <col min="97" max="100" width="12.7265625" customWidth="1"/>
    <col min="101" max="101" width="4.7265625" customWidth="1"/>
    <col min="102" max="102" width="12.7265625" customWidth="1"/>
  </cols>
  <sheetData>
    <row r="1" spans="2:102" ht="15" thickBot="1" x14ac:dyDescent="0.4"/>
    <row r="2" spans="2:102" ht="14.5" customHeight="1" x14ac:dyDescent="0.35">
      <c r="C2" s="330" t="str">
        <f>'[1]Összesítő H'!$C$3</f>
        <v>Kibocsátás</v>
      </c>
      <c r="D2" s="331"/>
      <c r="E2" s="331"/>
      <c r="F2" s="331"/>
      <c r="G2" s="331"/>
      <c r="H2" s="331"/>
      <c r="I2" s="332"/>
      <c r="J2" s="340" t="str">
        <f>'[1]Összesítő H'!$H$3</f>
        <v>Bruttó hozzáadott érték</v>
      </c>
      <c r="K2" s="341"/>
      <c r="L2" s="341"/>
      <c r="M2" s="341"/>
      <c r="N2" s="342"/>
      <c r="O2" s="343" t="str">
        <f>'[1]Összesítő H'!$M$3</f>
        <v>Termékadók és terméktámogatások egyenlege</v>
      </c>
      <c r="P2" s="344"/>
      <c r="Q2" s="344"/>
      <c r="R2" s="344"/>
      <c r="S2" s="345"/>
      <c r="T2" s="340" t="s">
        <v>30</v>
      </c>
      <c r="U2" s="341"/>
      <c r="V2" s="341"/>
      <c r="W2" s="341"/>
      <c r="X2" s="342"/>
      <c r="Y2" s="330" t="s">
        <v>31</v>
      </c>
      <c r="Z2" s="331"/>
      <c r="AA2" s="332"/>
      <c r="AB2" s="337" t="str">
        <f>'[1]Összesítő H'!$AX$3</f>
        <v>Végső fogyasztás összesen</v>
      </c>
      <c r="AC2" s="338"/>
      <c r="AD2" s="338"/>
      <c r="AE2" s="338"/>
      <c r="AF2" s="338"/>
      <c r="AG2" s="339"/>
      <c r="AH2" s="333" t="str">
        <f>'[1]Összesítő H'!$BG$3</f>
        <v>Bruttó felhalmozás</v>
      </c>
      <c r="AI2" s="334"/>
      <c r="AJ2" s="334"/>
      <c r="AK2" s="334"/>
      <c r="AL2" s="335"/>
      <c r="AM2" s="336"/>
      <c r="AN2" s="333" t="str">
        <f>'[1]Összesítő H'!$BI$3</f>
        <v>Export</v>
      </c>
      <c r="AO2" s="334"/>
      <c r="AP2" s="334"/>
      <c r="AQ2" s="334"/>
      <c r="AR2" s="335"/>
      <c r="AS2" s="336"/>
      <c r="AT2" s="333" t="str">
        <f>'[1]Összesítő H'!$BK$3</f>
        <v>Import</v>
      </c>
      <c r="AU2" s="334"/>
      <c r="AV2" s="334"/>
      <c r="AW2" s="334"/>
      <c r="AX2" s="336"/>
      <c r="AY2" s="337" t="s">
        <v>32</v>
      </c>
      <c r="AZ2" s="338"/>
      <c r="BA2" s="338"/>
      <c r="BB2" s="338"/>
      <c r="BC2" s="339"/>
      <c r="BD2" s="333" t="s">
        <v>33</v>
      </c>
      <c r="BE2" s="334"/>
      <c r="BF2" s="334"/>
      <c r="BG2" s="334"/>
      <c r="BH2" s="334"/>
      <c r="BI2" s="336"/>
      <c r="BJ2" s="337" t="s">
        <v>34</v>
      </c>
      <c r="BK2" s="338"/>
      <c r="BL2" s="338"/>
      <c r="BM2" s="338"/>
      <c r="BN2" s="338"/>
      <c r="BO2" s="338"/>
      <c r="BP2" s="338"/>
      <c r="BQ2" s="338"/>
      <c r="BR2" s="338"/>
      <c r="BS2" s="337" t="s">
        <v>35</v>
      </c>
      <c r="BT2" s="339"/>
      <c r="BU2" s="357" t="s">
        <v>36</v>
      </c>
      <c r="BV2" s="358"/>
      <c r="BW2" s="358"/>
      <c r="BX2" s="358"/>
      <c r="BY2" s="358"/>
      <c r="BZ2" s="359"/>
      <c r="CA2" s="337" t="s">
        <v>114</v>
      </c>
      <c r="CB2" s="338"/>
      <c r="CC2" s="338"/>
      <c r="CD2" s="338"/>
      <c r="CE2" s="338"/>
      <c r="CF2" s="339"/>
      <c r="CG2" s="337" t="s">
        <v>113</v>
      </c>
      <c r="CH2" s="338"/>
      <c r="CI2" s="338"/>
      <c r="CJ2" s="338"/>
      <c r="CK2" s="338"/>
      <c r="CL2" s="339"/>
      <c r="CM2" s="337" t="s">
        <v>37</v>
      </c>
      <c r="CN2" s="338"/>
      <c r="CO2" s="338"/>
      <c r="CP2" s="338"/>
      <c r="CQ2" s="338"/>
      <c r="CR2" s="339"/>
      <c r="CS2" s="337" t="s">
        <v>38</v>
      </c>
      <c r="CT2" s="338"/>
      <c r="CU2" s="338"/>
      <c r="CV2" s="338"/>
      <c r="CW2" s="338"/>
      <c r="CX2" s="339"/>
    </row>
    <row r="3" spans="2:102" ht="86.5" customHeight="1" x14ac:dyDescent="0.35">
      <c r="C3" s="19" t="s">
        <v>28</v>
      </c>
      <c r="D3" s="14" t="s">
        <v>29</v>
      </c>
      <c r="E3" s="14" t="s">
        <v>39</v>
      </c>
      <c r="F3" s="14" t="s">
        <v>40</v>
      </c>
      <c r="G3" s="350" t="s">
        <v>41</v>
      </c>
      <c r="H3" s="366"/>
      <c r="I3" s="360"/>
      <c r="J3" s="19" t="str">
        <f>C3</f>
        <v>Folyó ár</v>
      </c>
      <c r="K3" s="14" t="str">
        <f>D3</f>
        <v>Előző évi ár</v>
      </c>
      <c r="L3" s="14" t="str">
        <f>E3</f>
        <v>Folyó árak az előző évi árak %-ban (ptpt-1)</v>
      </c>
      <c r="M3" s="14" t="str">
        <f>F3</f>
        <v>Folyó árak a 2015 évi árak %-ban (ptp14)</v>
      </c>
      <c r="N3" s="20" t="str">
        <f>G3</f>
        <v>2015 évi ár</v>
      </c>
      <c r="O3" s="19" t="str">
        <f>C3</f>
        <v>Folyó ár</v>
      </c>
      <c r="P3" s="14" t="str">
        <f>D3</f>
        <v>Előző évi ár</v>
      </c>
      <c r="Q3" s="14" t="str">
        <f>E3</f>
        <v>Folyó árak az előző évi árak %-ban (ptpt-1)</v>
      </c>
      <c r="R3" s="14" t="str">
        <f>F3</f>
        <v>Folyó árak a 2015 évi árak %-ban (ptp14)</v>
      </c>
      <c r="S3" s="20" t="str">
        <f>G3</f>
        <v>2015 évi ár</v>
      </c>
      <c r="T3" s="19" t="str">
        <f>O3</f>
        <v>Folyó ár</v>
      </c>
      <c r="U3" s="14" t="str">
        <f t="shared" ref="U3:X3" si="0">P3</f>
        <v>Előző évi ár</v>
      </c>
      <c r="V3" s="14" t="str">
        <f t="shared" si="0"/>
        <v>Folyó árak az előző évi árak %-ban (ptpt-1)</v>
      </c>
      <c r="W3" s="14" t="str">
        <f t="shared" si="0"/>
        <v>Folyó árak a 2015 évi árak %-ban (ptp14)</v>
      </c>
      <c r="X3" s="20" t="str">
        <f t="shared" si="0"/>
        <v>2015 évi ár</v>
      </c>
      <c r="Y3" s="21" t="s">
        <v>42</v>
      </c>
      <c r="Z3" s="18" t="s">
        <v>43</v>
      </c>
      <c r="AA3" s="22" t="s">
        <v>44</v>
      </c>
      <c r="AB3" s="19" t="str">
        <f>C3</f>
        <v>Folyó ár</v>
      </c>
      <c r="AC3" s="14" t="str">
        <f>D3</f>
        <v>Előző évi ár</v>
      </c>
      <c r="AD3" s="14" t="str">
        <f>E3</f>
        <v>Folyó árak az előző évi árak %-ban (ptpt-1)</v>
      </c>
      <c r="AE3" s="14" t="str">
        <f>F3</f>
        <v>Folyó árak a 2015 évi árak %-ban (ptp14)</v>
      </c>
      <c r="AF3" s="350" t="str">
        <f>G3</f>
        <v>2015 évi ár</v>
      </c>
      <c r="AG3" s="360"/>
      <c r="AH3" s="19" t="str">
        <f>AB3</f>
        <v>Folyó ár</v>
      </c>
      <c r="AI3" s="14" t="str">
        <f>AC3</f>
        <v>Előző évi ár</v>
      </c>
      <c r="AJ3" s="14" t="str">
        <f>AD3</f>
        <v>Folyó árak az előző évi árak %-ban (ptpt-1)</v>
      </c>
      <c r="AK3" s="14" t="str">
        <f>AE3</f>
        <v>Folyó árak a 2015 évi árak %-ban (ptp14)</v>
      </c>
      <c r="AL3" s="350" t="str">
        <f>AF3</f>
        <v>2015 évi ár</v>
      </c>
      <c r="AM3" s="360"/>
      <c r="AN3" s="19" t="str">
        <f>AH3</f>
        <v>Folyó ár</v>
      </c>
      <c r="AO3" s="14" t="str">
        <f>AI3</f>
        <v>Előző évi ár</v>
      </c>
      <c r="AP3" s="14" t="str">
        <f>AJ3</f>
        <v>Folyó árak az előző évi árak %-ban (ptpt-1)</v>
      </c>
      <c r="AQ3" s="14" t="str">
        <f>AK3</f>
        <v>Folyó árak a 2015 évi árak %-ban (ptp14)</v>
      </c>
      <c r="AR3" s="350" t="str">
        <f>AL3</f>
        <v>2015 évi ár</v>
      </c>
      <c r="AS3" s="360"/>
      <c r="AT3" s="19" t="str">
        <f>AN3</f>
        <v>Folyó ár</v>
      </c>
      <c r="AU3" s="14" t="str">
        <f>AO3</f>
        <v>Előző évi ár</v>
      </c>
      <c r="AV3" s="14" t="str">
        <f>AP3</f>
        <v>Folyó árak az előző évi árak %-ban (ptpt-1)</v>
      </c>
      <c r="AW3" s="14" t="str">
        <f>AQ3</f>
        <v>Folyó árak a 2015 évi árak %-ban (ptp14)</v>
      </c>
      <c r="AX3" s="20" t="str">
        <f>AR3</f>
        <v>2015 évi ár</v>
      </c>
      <c r="AY3" s="19" t="str">
        <f t="shared" ref="AY3:BC3" si="1">AT3</f>
        <v>Folyó ár</v>
      </c>
      <c r="AZ3" s="14" t="str">
        <f t="shared" si="1"/>
        <v>Előző évi ár</v>
      </c>
      <c r="BA3" s="14" t="str">
        <f t="shared" si="1"/>
        <v>Folyó árak az előző évi árak %-ban (ptpt-1)</v>
      </c>
      <c r="BB3" s="14" t="str">
        <f t="shared" si="1"/>
        <v>Folyó árak a 2015 évi árak %-ban (ptp14)</v>
      </c>
      <c r="BC3" s="20" t="str">
        <f t="shared" si="1"/>
        <v>2015 évi ár</v>
      </c>
      <c r="BD3" s="19" t="s">
        <v>45</v>
      </c>
      <c r="BE3" s="14" t="s">
        <v>46</v>
      </c>
      <c r="BF3" s="15" t="s">
        <v>47</v>
      </c>
      <c r="BG3" s="14" t="s">
        <v>48</v>
      </c>
      <c r="BH3" s="14" t="s">
        <v>49</v>
      </c>
      <c r="BI3" s="23" t="s">
        <v>47</v>
      </c>
      <c r="BJ3" s="19" t="s">
        <v>50</v>
      </c>
      <c r="BK3" s="14" t="s">
        <v>51</v>
      </c>
      <c r="BL3" s="76" t="s">
        <v>52</v>
      </c>
      <c r="BM3" s="76" t="s">
        <v>53</v>
      </c>
      <c r="BN3" s="14" t="s">
        <v>54</v>
      </c>
      <c r="BO3" s="14" t="s">
        <v>55</v>
      </c>
      <c r="BP3" s="14" t="s">
        <v>56</v>
      </c>
      <c r="BQ3" s="14" t="s">
        <v>57</v>
      </c>
      <c r="BR3" s="43" t="s">
        <v>58</v>
      </c>
      <c r="BS3" s="21" t="s">
        <v>59</v>
      </c>
      <c r="BT3" s="22" t="s">
        <v>60</v>
      </c>
      <c r="BU3" s="119" t="str">
        <f>AY3</f>
        <v>Folyó ár</v>
      </c>
      <c r="BV3" s="94" t="str">
        <f>AZ3</f>
        <v>Előző évi ár</v>
      </c>
      <c r="BW3" s="94" t="str">
        <f>BA3</f>
        <v>Folyó árak az előző évi árak %-ban (ptpt-1)</v>
      </c>
      <c r="BX3" s="94" t="str">
        <f>BB3</f>
        <v>Folyó árak a 2015 évi árak %-ban (ptp14)</v>
      </c>
      <c r="BY3" s="361" t="str">
        <f>BC3</f>
        <v>2015 évi ár</v>
      </c>
      <c r="BZ3" s="362"/>
      <c r="CA3" s="19" t="str">
        <f>BU3</f>
        <v>Folyó ár</v>
      </c>
      <c r="CB3" s="14" t="str">
        <f>BV3</f>
        <v>Előző évi ár</v>
      </c>
      <c r="CC3" s="14" t="str">
        <f>BW3</f>
        <v>Folyó árak az előző évi árak %-ban (ptpt-1)</v>
      </c>
      <c r="CD3" s="14" t="str">
        <f>BX3</f>
        <v>Folyó árak a 2015 évi árak %-ban (ptp14)</v>
      </c>
      <c r="CE3" s="350" t="str">
        <f>BY3</f>
        <v>2015 évi ár</v>
      </c>
      <c r="CF3" s="360"/>
      <c r="CG3" s="19" t="str">
        <f>CA3</f>
        <v>Folyó ár</v>
      </c>
      <c r="CH3" s="14" t="str">
        <f>CB3</f>
        <v>Előző évi ár</v>
      </c>
      <c r="CI3" s="14" t="str">
        <f>CC3</f>
        <v>Folyó árak az előző évi árak %-ban (ptpt-1)</v>
      </c>
      <c r="CJ3" s="14" t="str">
        <f>CD3</f>
        <v>Folyó árak a 2015 évi árak %-ban (ptp14)</v>
      </c>
      <c r="CK3" s="350" t="str">
        <f>CE3</f>
        <v>2015 évi ár</v>
      </c>
      <c r="CL3" s="360"/>
      <c r="CM3" s="19" t="str">
        <f>CG3</f>
        <v>Folyó ár</v>
      </c>
      <c r="CN3" s="14" t="str">
        <f>CH3</f>
        <v>Előző évi ár</v>
      </c>
      <c r="CO3" s="14" t="str">
        <f>CI3</f>
        <v>Folyó árak az előző évi árak %-ban (ptpt-1)</v>
      </c>
      <c r="CP3" s="14" t="str">
        <f>CJ3</f>
        <v>Folyó árak a 2015 évi árak %-ban (ptp14)</v>
      </c>
      <c r="CQ3" s="350" t="str">
        <f>CK3</f>
        <v>2015 évi ár</v>
      </c>
      <c r="CR3" s="360"/>
      <c r="CS3" s="19" t="str">
        <f>CM3</f>
        <v>Folyó ár</v>
      </c>
      <c r="CT3" s="14" t="str">
        <f>CN3</f>
        <v>Előző évi ár</v>
      </c>
      <c r="CU3" s="14" t="str">
        <f>CO3</f>
        <v>Folyó árak az előző évi árak %-ban (ptpt-1)</v>
      </c>
      <c r="CV3" s="14" t="str">
        <f>CP3</f>
        <v>Folyó árak a 2015 évi árak %-ban (ptp14)</v>
      </c>
      <c r="CW3" s="350" t="str">
        <f>CQ3</f>
        <v>2015 évi ár</v>
      </c>
      <c r="CX3" s="360"/>
    </row>
    <row r="4" spans="2:102" x14ac:dyDescent="0.35">
      <c r="C4" s="348" t="str">
        <f>'[1]Összesítő H'!$C$4</f>
        <v>Millió Ft.</v>
      </c>
      <c r="D4" s="349"/>
      <c r="E4" s="349"/>
      <c r="F4" s="349"/>
      <c r="G4" s="350"/>
      <c r="H4" s="350"/>
      <c r="I4" s="105" t="s">
        <v>1087</v>
      </c>
      <c r="J4" s="348" t="str">
        <f>'[1]Összesítő H'!$H$4</f>
        <v>Millió Ft.</v>
      </c>
      <c r="K4" s="349"/>
      <c r="L4" s="349"/>
      <c r="M4" s="349"/>
      <c r="N4" s="351"/>
      <c r="O4" s="348" t="str">
        <f>'[1]Összesítő H'!$M$4</f>
        <v>Millió Ft.</v>
      </c>
      <c r="P4" s="349"/>
      <c r="Q4" s="349"/>
      <c r="R4" s="349"/>
      <c r="S4" s="351"/>
      <c r="T4" s="348" t="str">
        <f>'[1]Összesítő H'!$P$4</f>
        <v>Millió Ft.</v>
      </c>
      <c r="U4" s="349"/>
      <c r="V4" s="349"/>
      <c r="W4" s="349"/>
      <c r="X4" s="351"/>
      <c r="Y4" s="21"/>
      <c r="Z4" s="18"/>
      <c r="AA4" s="22"/>
      <c r="AB4" s="346" t="str">
        <f>'[1]Összesítő H'!$AX$4</f>
        <v>Millió Ft.</v>
      </c>
      <c r="AC4" s="352"/>
      <c r="AD4" s="352"/>
      <c r="AE4" s="352"/>
      <c r="AF4" s="352"/>
      <c r="AG4" s="347"/>
      <c r="AH4" s="353" t="str">
        <f>AB4</f>
        <v>Millió Ft.</v>
      </c>
      <c r="AI4" s="354"/>
      <c r="AJ4" s="354"/>
      <c r="AK4" s="354"/>
      <c r="AL4" s="355"/>
      <c r="AM4" s="356"/>
      <c r="AN4" s="353" t="str">
        <f>AH4</f>
        <v>Millió Ft.</v>
      </c>
      <c r="AO4" s="354"/>
      <c r="AP4" s="354"/>
      <c r="AQ4" s="354"/>
      <c r="AR4" s="355"/>
      <c r="AS4" s="356"/>
      <c r="AT4" s="353" t="str">
        <f>AN4</f>
        <v>Millió Ft.</v>
      </c>
      <c r="AU4" s="354"/>
      <c r="AV4" s="354"/>
      <c r="AW4" s="354"/>
      <c r="AX4" s="356"/>
      <c r="AY4" s="346" t="str">
        <f>AT4</f>
        <v>Millió Ft.</v>
      </c>
      <c r="AZ4" s="352"/>
      <c r="BA4" s="352"/>
      <c r="BB4" s="352"/>
      <c r="BC4" s="347"/>
      <c r="BD4" s="353" t="str">
        <f>AY4</f>
        <v>Millió Ft.</v>
      </c>
      <c r="BE4" s="354"/>
      <c r="BF4" s="354"/>
      <c r="BG4" s="354"/>
      <c r="BH4" s="354"/>
      <c r="BI4" s="356"/>
      <c r="BJ4" s="346" t="s">
        <v>61</v>
      </c>
      <c r="BK4" s="352"/>
      <c r="BL4" s="352"/>
      <c r="BM4" s="352"/>
      <c r="BN4" s="352"/>
      <c r="BO4" s="352"/>
      <c r="BP4" s="352"/>
      <c r="BQ4" s="352"/>
      <c r="BR4" s="352"/>
      <c r="BS4" s="346" t="s">
        <v>62</v>
      </c>
      <c r="BT4" s="347"/>
      <c r="BU4" s="363" t="str">
        <f>AY4</f>
        <v>Millió Ft.</v>
      </c>
      <c r="BV4" s="364"/>
      <c r="BW4" s="364"/>
      <c r="BX4" s="364"/>
      <c r="BY4" s="364"/>
      <c r="BZ4" s="365"/>
      <c r="CA4" s="346" t="str">
        <f>BU4</f>
        <v>Millió Ft.</v>
      </c>
      <c r="CB4" s="352"/>
      <c r="CC4" s="352"/>
      <c r="CD4" s="352"/>
      <c r="CE4" s="352"/>
      <c r="CF4" s="347"/>
      <c r="CG4" s="346" t="str">
        <f>CA4</f>
        <v>Millió Ft.</v>
      </c>
      <c r="CH4" s="352"/>
      <c r="CI4" s="352"/>
      <c r="CJ4" s="352"/>
      <c r="CK4" s="352"/>
      <c r="CL4" s="347"/>
      <c r="CM4" s="346" t="str">
        <f>CG4</f>
        <v>Millió Ft.</v>
      </c>
      <c r="CN4" s="352"/>
      <c r="CO4" s="352"/>
      <c r="CP4" s="352"/>
      <c r="CQ4" s="352"/>
      <c r="CR4" s="347"/>
      <c r="CS4" s="346" t="str">
        <f>CM4</f>
        <v>Millió Ft.</v>
      </c>
      <c r="CT4" s="352"/>
      <c r="CU4" s="352"/>
      <c r="CV4" s="352"/>
      <c r="CW4" s="352"/>
      <c r="CX4" s="347"/>
    </row>
    <row r="5" spans="2:102" x14ac:dyDescent="0.35">
      <c r="B5">
        <f>'[1]Összesítő H'!B13</f>
        <v>1995</v>
      </c>
      <c r="C5" s="24">
        <f>'[1]Összesítő H'!$C$13</f>
        <v>11194873</v>
      </c>
      <c r="D5" s="3"/>
      <c r="E5" s="16"/>
      <c r="F5" s="16">
        <f t="shared" ref="F5:F23" si="2">F6/E6</f>
        <v>0.3382541049999766</v>
      </c>
      <c r="G5" s="16"/>
      <c r="H5" s="6">
        <f>C5/F5</f>
        <v>33096044.761971992</v>
      </c>
      <c r="I5" s="131">
        <f>H5/10^3</f>
        <v>33096.044761971993</v>
      </c>
      <c r="J5" s="24">
        <f>'[1]Összesítő H'!H13</f>
        <v>4942722</v>
      </c>
      <c r="K5" s="3"/>
      <c r="L5" s="16"/>
      <c r="M5" s="16">
        <f t="shared" ref="M5:M23" si="3">M6/L6</f>
        <v>0.27045610238906076</v>
      </c>
      <c r="N5" s="25">
        <f>J5/M5</f>
        <v>18275505.54910282</v>
      </c>
      <c r="O5" s="24">
        <f>'[1]Összesítő H'!M13</f>
        <v>893761</v>
      </c>
      <c r="P5" s="3">
        <f>'[1]Összesítő H'!N13</f>
        <v>0</v>
      </c>
      <c r="Q5" s="16"/>
      <c r="R5" s="16">
        <f t="shared" ref="R5:R23" si="4">R6/Q6</f>
        <v>0.22835359379743128</v>
      </c>
      <c r="S5" s="25">
        <f>X5-N5</f>
        <v>3869381.5314058252</v>
      </c>
      <c r="T5" s="24">
        <f>'[1]Összesítő H'!P13</f>
        <v>5836483</v>
      </c>
      <c r="U5" s="3"/>
      <c r="V5" s="16"/>
      <c r="W5" s="16">
        <f t="shared" ref="W5:W23" si="5">W6/V6</f>
        <v>0.26355894156430903</v>
      </c>
      <c r="X5" s="25">
        <f>T5/W5</f>
        <v>22144887.080508646</v>
      </c>
      <c r="Y5" s="24">
        <f>J5+O5-T5</f>
        <v>0</v>
      </c>
      <c r="Z5" s="3"/>
      <c r="AA5" s="25">
        <f>N5+S5-X5</f>
        <v>0</v>
      </c>
      <c r="AB5" s="24">
        <f>'[1]Összesítő H'!AX13</f>
        <v>4486015</v>
      </c>
      <c r="AC5" s="3"/>
      <c r="AD5" s="3"/>
      <c r="AE5" s="16">
        <f t="shared" ref="AE5:AE23" si="6">AE6/AD6</f>
        <v>0.26071767924555961</v>
      </c>
      <c r="AF5" s="16"/>
      <c r="AG5" s="25">
        <f>AB5/AE5</f>
        <v>17206408.913201474</v>
      </c>
      <c r="AH5" s="24">
        <f>'[1]Összesítő H'!BG13</f>
        <v>1350920</v>
      </c>
      <c r="AI5" s="3"/>
      <c r="AJ5" s="16"/>
      <c r="AK5" s="16">
        <f t="shared" ref="AK5:AK23" si="7">AK6/AJ6</f>
        <v>0.24710929257535144</v>
      </c>
      <c r="AL5" s="16"/>
      <c r="AM5" s="25">
        <f>AH5/AK5</f>
        <v>5466892.7498469595</v>
      </c>
      <c r="AN5" s="24">
        <f>'[1]Összesítő H'!BI13</f>
        <v>2287229</v>
      </c>
      <c r="AO5" s="3"/>
      <c r="AP5" s="16"/>
      <c r="AQ5" s="16">
        <f t="shared" ref="AQ5:AQ23" si="8">AQ6/AP6</f>
        <v>0.49313836451958998</v>
      </c>
      <c r="AR5" s="16"/>
      <c r="AS5" s="25">
        <f>AN5/AQ5</f>
        <v>4638108.0130080599</v>
      </c>
      <c r="AT5" s="24">
        <f>'[1]Összesítő H'!BK13</f>
        <v>2287681</v>
      </c>
      <c r="AU5" s="3"/>
      <c r="AV5" s="16"/>
      <c r="AW5" s="16">
        <f t="shared" ref="AW5:AW23" si="9">AW6/AV6</f>
        <v>0.48143698441073807</v>
      </c>
      <c r="AX5" s="25">
        <f>AG5+AM5+AS5-BC5</f>
        <v>5166522.5955478437</v>
      </c>
      <c r="AY5" s="24">
        <f>T5</f>
        <v>5836483</v>
      </c>
      <c r="AZ5" s="3"/>
      <c r="BA5" s="3"/>
      <c r="BB5" s="16">
        <f t="shared" ref="BB5:BB23" si="10">BB6/BA6</f>
        <v>0.26355894156430903</v>
      </c>
      <c r="BC5" s="25">
        <f>X5</f>
        <v>22144887.080508646</v>
      </c>
      <c r="BD5" s="24">
        <f t="shared" ref="BD5:BD29" si="11">T5</f>
        <v>5836483</v>
      </c>
      <c r="BE5" s="3">
        <f t="shared" ref="BE5:BE29" si="12">AY5</f>
        <v>5836483</v>
      </c>
      <c r="BF5" s="3">
        <f t="shared" ref="BF5:BF29" si="13">BD5-BE5</f>
        <v>0</v>
      </c>
      <c r="BG5" s="3">
        <f t="shared" ref="BG5:BG29" si="14">X5</f>
        <v>22144887.080508646</v>
      </c>
      <c r="BH5" s="3">
        <f t="shared" ref="BH5:BH29" si="15">BC5</f>
        <v>22144887.080508646</v>
      </c>
      <c r="BI5" s="25">
        <f>BG5-BH5</f>
        <v>0</v>
      </c>
      <c r="BJ5" s="3">
        <f>[2]Foglalkoztatottak!AD15</f>
        <v>3678800</v>
      </c>
      <c r="BK5" s="3">
        <f>[2]Foglalkoztatottak!AE15</f>
        <v>416400</v>
      </c>
      <c r="BL5" s="77">
        <f>[2]Foglalkoztatottak!AF15</f>
        <v>556398.92222221941</v>
      </c>
      <c r="BM5" s="3">
        <f>[2]Foglalkoztatottak!AG15</f>
        <v>30285.832142856903</v>
      </c>
      <c r="BN5" s="3">
        <f>[2]Foglalkoztatottak!AH15</f>
        <v>285300</v>
      </c>
      <c r="BO5" s="3">
        <f>[2]Foglalkoztatottak!AI15</f>
        <v>723400</v>
      </c>
      <c r="BP5" s="3">
        <f>[2]Foglalkoztatottak!AJ15</f>
        <v>9415.2456349236891</v>
      </c>
      <c r="BQ5" s="3">
        <f>[2]Foglalkoztatottak!AK15</f>
        <v>2675800</v>
      </c>
      <c r="BR5" s="3">
        <f>SUM(BJ5:BQ5)</f>
        <v>8375800</v>
      </c>
      <c r="BS5" s="44">
        <f t="shared" ref="BS5:BS35" si="16">C5/BJ5</f>
        <v>3.0430773621833205</v>
      </c>
      <c r="BT5" s="33">
        <f t="shared" ref="BT5:BT30" si="17">H5/BJ5</f>
        <v>8.9964240409840137</v>
      </c>
      <c r="BU5" s="120">
        <f>'[3]Nettó eszközállomány'!B12</f>
        <v>26589</v>
      </c>
      <c r="BV5" s="121">
        <f>'[3]Nettó eszközállomány'!C12</f>
        <v>0</v>
      </c>
      <c r="BW5" s="122"/>
      <c r="BX5" s="122">
        <f t="shared" ref="BX5:BX23" si="18">BX6/BW6</f>
        <v>0.26218962415880109</v>
      </c>
      <c r="BY5" s="80"/>
      <c r="BZ5" s="123">
        <f t="shared" ref="BZ5:BZ28" si="19">BU5/BX5</f>
        <v>101411.33572812847</v>
      </c>
      <c r="CA5" s="24"/>
      <c r="CB5" s="3"/>
      <c r="CC5" s="3"/>
      <c r="CD5" s="59"/>
      <c r="CE5" s="59"/>
      <c r="CF5" s="25">
        <f>CL5-BZ5</f>
        <v>2138.8679185462388</v>
      </c>
      <c r="CG5" s="24"/>
      <c r="CH5" s="3"/>
      <c r="CI5" s="3"/>
      <c r="CJ5" s="59">
        <f>CL5/BZ5</f>
        <v>1.0210910141670975</v>
      </c>
      <c r="CK5" s="59"/>
      <c r="CL5" s="81">
        <f>$BX$25/$BX$24*[4]Hungary!$C$32/10^3</f>
        <v>103550.20364667471</v>
      </c>
      <c r="CM5" s="24"/>
      <c r="CN5" s="3"/>
      <c r="CO5" s="3"/>
      <c r="CP5" s="3"/>
      <c r="CQ5" s="3"/>
      <c r="CR5" s="81">
        <f>$BX$25/$BX$24*[4]Hungary!$C$33/10^3</f>
        <v>156810.85693339258</v>
      </c>
      <c r="CS5" s="24"/>
      <c r="CT5" s="3"/>
      <c r="CU5" s="3"/>
      <c r="CV5" s="3"/>
      <c r="CW5" s="3"/>
      <c r="CX5" s="25">
        <f>CL5+CR5</f>
        <v>260361.06058006728</v>
      </c>
    </row>
    <row r="6" spans="2:102" x14ac:dyDescent="0.35">
      <c r="B6">
        <f>'[1]Összesítő H'!B14</f>
        <v>1996</v>
      </c>
      <c r="C6" s="24">
        <f>'[1]Összesítő H'!C14</f>
        <v>13866010</v>
      </c>
      <c r="D6" s="3">
        <f>'[1]Összesítő H'!D14</f>
        <v>11496359</v>
      </c>
      <c r="E6" s="16">
        <f>C6/D6</f>
        <v>1.2061218686716377</v>
      </c>
      <c r="F6" s="16">
        <f t="shared" si="2"/>
        <v>0.40797567320842415</v>
      </c>
      <c r="G6" s="16"/>
      <c r="H6" s="6">
        <f>C6/F6</f>
        <v>33987345.105540685</v>
      </c>
      <c r="I6" s="131">
        <f t="shared" ref="I6:I35" si="20">H6/10^3</f>
        <v>33987.345105540684</v>
      </c>
      <c r="J6" s="24">
        <f>'[1]Összesítő H'!H14</f>
        <v>6076238</v>
      </c>
      <c r="K6" s="3">
        <f>'[1]Összesítő H'!I14</f>
        <v>5010447</v>
      </c>
      <c r="L6" s="16">
        <f>J6/K6</f>
        <v>1.2127137558784675</v>
      </c>
      <c r="M6" s="16">
        <f t="shared" si="3"/>
        <v>0.32798583572848927</v>
      </c>
      <c r="N6" s="25">
        <f>J6/M6</f>
        <v>18525915.872263413</v>
      </c>
      <c r="O6" s="24">
        <f>'[1]Összesítő H'!M14</f>
        <v>1046067</v>
      </c>
      <c r="P6" s="3">
        <f>'[1]Összesítő H'!N14</f>
        <v>830846</v>
      </c>
      <c r="Q6" s="16">
        <f>O6/P6</f>
        <v>1.2590383777499079</v>
      </c>
      <c r="R6" s="16">
        <f t="shared" si="4"/>
        <v>0.2875059382880793</v>
      </c>
      <c r="S6" s="25">
        <f t="shared" ref="S6:S35" si="21">X6-N6</f>
        <v>3637221.3953625858</v>
      </c>
      <c r="T6" s="24">
        <f>'[1]Összesítő H'!P14</f>
        <v>7122305</v>
      </c>
      <c r="U6" s="3">
        <f>'[1]Összesítő H'!Q14</f>
        <v>5841293</v>
      </c>
      <c r="V6" s="16">
        <f>T6/U6</f>
        <v>1.2193028153184577</v>
      </c>
      <c r="W6" s="16">
        <f t="shared" si="5"/>
        <v>0.32135815945171486</v>
      </c>
      <c r="X6" s="25">
        <f>T6/W6</f>
        <v>22163137.267625999</v>
      </c>
      <c r="Y6" s="24">
        <f t="shared" ref="Y6:Z35" si="22">J6+O6-T6</f>
        <v>0</v>
      </c>
      <c r="Z6" s="3">
        <f>K6+P6-U6</f>
        <v>0</v>
      </c>
      <c r="AA6" s="25">
        <f t="shared" ref="AA6:AA35" si="23">N6+S6-X6</f>
        <v>0</v>
      </c>
      <c r="AB6" s="24">
        <f>'[1]Összesítő H'!AX14</f>
        <v>5321615</v>
      </c>
      <c r="AC6" s="3">
        <f>'[1]Összesítő H'!AY14</f>
        <v>4371742</v>
      </c>
      <c r="AD6" s="16">
        <f>AB6/AC6</f>
        <v>1.2172756306296209</v>
      </c>
      <c r="AE6" s="16">
        <f t="shared" si="6"/>
        <v>0.31736527741992976</v>
      </c>
      <c r="AF6" s="16"/>
      <c r="AG6" s="25">
        <f>AB6/AE6</f>
        <v>16768107.221000655</v>
      </c>
      <c r="AH6" s="24">
        <f>'[1]Összesítő H'!BG14</f>
        <v>1766975</v>
      </c>
      <c r="AI6" s="3">
        <f>'[1]Összesítő H'!BH14</f>
        <v>1421535</v>
      </c>
      <c r="AJ6" s="16">
        <f>AH6/AI6</f>
        <v>1.2430049207370906</v>
      </c>
      <c r="AK6" s="16">
        <f t="shared" si="7"/>
        <v>0.30715806663102324</v>
      </c>
      <c r="AL6" s="16"/>
      <c r="AM6" s="25">
        <f>AH6/AK6</f>
        <v>5752656.9931259425</v>
      </c>
      <c r="AN6" s="24">
        <f>'[1]Összesítő H'!BI14</f>
        <v>2983020</v>
      </c>
      <c r="AO6" s="3">
        <f>'[1]Összesítő H'!BJ14</f>
        <v>2496880</v>
      </c>
      <c r="AP6" s="16">
        <f>AN6/AO6</f>
        <v>1.1946989843324469</v>
      </c>
      <c r="AQ6" s="16">
        <f t="shared" si="8"/>
        <v>0.58915190322691813</v>
      </c>
      <c r="AR6" s="16"/>
      <c r="AS6" s="25">
        <f>AN6/AQ6</f>
        <v>5063244.2731005792</v>
      </c>
      <c r="AT6" s="24">
        <f>'[1]Összesítő H'!BK14</f>
        <v>2949305</v>
      </c>
      <c r="AU6" s="3">
        <f>'[1]Összesítő H'!BL14</f>
        <v>2448864</v>
      </c>
      <c r="AV6" s="16">
        <f>AT6/AU6</f>
        <v>1.2043563872881466</v>
      </c>
      <c r="AW6" s="16">
        <f t="shared" si="9"/>
        <v>0.57982170725181625</v>
      </c>
      <c r="AX6" s="25">
        <f t="shared" ref="AX6:AX35" si="24">AG6+AM6+AS6-BC6</f>
        <v>5420871.2196011804</v>
      </c>
      <c r="AY6" s="24">
        <f>T6</f>
        <v>7122305</v>
      </c>
      <c r="AZ6" s="3">
        <f>U6</f>
        <v>5841293</v>
      </c>
      <c r="BA6" s="16">
        <f>AY6/AZ6</f>
        <v>1.2193028153184577</v>
      </c>
      <c r="BB6" s="16">
        <f t="shared" si="10"/>
        <v>0.32135815945171486</v>
      </c>
      <c r="BC6" s="25">
        <f t="shared" ref="BC6:BC35" si="25">X6</f>
        <v>22163137.267625999</v>
      </c>
      <c r="BD6" s="24">
        <f t="shared" si="11"/>
        <v>7122305</v>
      </c>
      <c r="BE6" s="3">
        <f t="shared" si="12"/>
        <v>7122305</v>
      </c>
      <c r="BF6" s="3">
        <f t="shared" si="13"/>
        <v>0</v>
      </c>
      <c r="BG6" s="3">
        <f t="shared" si="14"/>
        <v>22163137.267625999</v>
      </c>
      <c r="BH6" s="3">
        <f t="shared" si="15"/>
        <v>22163137.267625999</v>
      </c>
      <c r="BI6" s="25">
        <f t="shared" ref="BI6:BI35" si="26">BG6-BH6</f>
        <v>0</v>
      </c>
      <c r="BJ6" s="3">
        <f>[2]Foglalkoztatottak!AD16</f>
        <v>3648200</v>
      </c>
      <c r="BK6" s="3">
        <f>[2]Foglalkoztatottak!AE16</f>
        <v>400100</v>
      </c>
      <c r="BL6" s="77">
        <f>[2]Foglalkoztatottak!AF16</f>
        <v>538027.95555555075</v>
      </c>
      <c r="BM6" s="3">
        <f>[2]Foglalkoztatottak!AG16</f>
        <v>33967.295238095336</v>
      </c>
      <c r="BN6" s="3">
        <f>[2]Foglalkoztatottak!AH16</f>
        <v>289200</v>
      </c>
      <c r="BO6" s="3">
        <f>[2]Foglalkoztatottak!AI16</f>
        <v>740000</v>
      </c>
      <c r="BP6" s="3">
        <f>[2]Foglalkoztatottak!AJ16</f>
        <v>27404.74920635391</v>
      </c>
      <c r="BQ6" s="3">
        <f>[2]Foglalkoztatottak!AK16</f>
        <v>2697300</v>
      </c>
      <c r="BR6" s="3">
        <f t="shared" ref="BR6:BR29" si="27">SUM(BJ6:BQ6)</f>
        <v>8374200</v>
      </c>
      <c r="BS6" s="44">
        <f t="shared" si="16"/>
        <v>3.8007812071706595</v>
      </c>
      <c r="BT6" s="33">
        <f t="shared" si="17"/>
        <v>9.3161956870623008</v>
      </c>
      <c r="BU6" s="124">
        <f>'[3]Nettó eszközállomány'!B13</f>
        <v>33823</v>
      </c>
      <c r="BV6" s="80">
        <f>'[3]Nettó eszközállomány'!C13</f>
        <v>26835</v>
      </c>
      <c r="BW6" s="125">
        <f>BU6/BV6</f>
        <v>1.2604061859511833</v>
      </c>
      <c r="BX6" s="125">
        <f t="shared" si="18"/>
        <v>0.33046542418196873</v>
      </c>
      <c r="BY6" s="125"/>
      <c r="BZ6" s="123">
        <f t="shared" si="19"/>
        <v>102349.58795984532</v>
      </c>
      <c r="CA6" s="24"/>
      <c r="CB6" s="3"/>
      <c r="CC6" s="16"/>
      <c r="CD6" s="16"/>
      <c r="CE6" s="16"/>
      <c r="CF6" s="25">
        <f t="shared" ref="CF6:CF35" si="28">CL6-BZ6</f>
        <v>2967.08196069111</v>
      </c>
      <c r="CG6" s="24"/>
      <c r="CH6" s="3"/>
      <c r="CI6" s="16"/>
      <c r="CJ6" s="59">
        <f>CJ5+($CJ$10-$CJ$5)/($B$10-$B$5)</f>
        <v>1.0289896815398532</v>
      </c>
      <c r="CK6" s="59"/>
      <c r="CL6" s="25">
        <f>BZ6*CJ6</f>
        <v>105316.66992053643</v>
      </c>
      <c r="CM6" s="24"/>
      <c r="CN6" s="3"/>
      <c r="CO6" s="16"/>
      <c r="CP6" s="16"/>
      <c r="CQ6" s="16"/>
      <c r="CR6" s="25">
        <f>CR5+($CR$10-$CR$5)/($B$10-$B$5)</f>
        <v>159999.18176650009</v>
      </c>
      <c r="CS6" s="24"/>
      <c r="CT6" s="3"/>
      <c r="CU6" s="16"/>
      <c r="CV6" s="16"/>
      <c r="CW6" s="16"/>
      <c r="CX6" s="25">
        <f t="shared" ref="CX6:CX35" si="29">CL6+CR6</f>
        <v>265315.85168703651</v>
      </c>
    </row>
    <row r="7" spans="2:102" x14ac:dyDescent="0.35">
      <c r="B7">
        <f>'[1]Összesítő H'!B15</f>
        <v>1997</v>
      </c>
      <c r="C7" s="24">
        <f>'[1]Összesítő H'!C15</f>
        <v>17349723</v>
      </c>
      <c r="D7" s="3">
        <f>'[1]Összesítő H'!D15</f>
        <v>14692210</v>
      </c>
      <c r="E7" s="16">
        <f>C7/D7</f>
        <v>1.180879050871176</v>
      </c>
      <c r="F7" s="16">
        <f t="shared" si="2"/>
        <v>0.48176992575689298</v>
      </c>
      <c r="G7" s="16"/>
      <c r="H7" s="6">
        <f>C7/F7</f>
        <v>36012465.852330692</v>
      </c>
      <c r="I7" s="131">
        <f t="shared" si="20"/>
        <v>36012.465852330693</v>
      </c>
      <c r="J7" s="24">
        <f>'[1]Összesítő H'!H15</f>
        <v>7629846</v>
      </c>
      <c r="K7" s="3">
        <f>'[1]Összesítő H'!I15</f>
        <v>6261333</v>
      </c>
      <c r="L7" s="16">
        <f>J7/K7</f>
        <v>1.2185657590803747</v>
      </c>
      <c r="M7" s="16">
        <f t="shared" si="3"/>
        <v>0.39967230888209759</v>
      </c>
      <c r="N7" s="25">
        <f>J7/M7</f>
        <v>19090254.266904406</v>
      </c>
      <c r="O7" s="24">
        <f>'[1]Összesítő H'!M15</f>
        <v>1204714</v>
      </c>
      <c r="P7" s="3">
        <f>'[1]Összesítő H'!N15</f>
        <v>1084835</v>
      </c>
      <c r="Q7" s="16">
        <f>O7/P7</f>
        <v>1.1105043624145607</v>
      </c>
      <c r="R7" s="16">
        <f t="shared" si="4"/>
        <v>0.31927659868900354</v>
      </c>
      <c r="S7" s="25">
        <f t="shared" si="21"/>
        <v>3769498.267568849</v>
      </c>
      <c r="T7" s="24">
        <f>'[1]Összesítő H'!P15</f>
        <v>8834560</v>
      </c>
      <c r="U7" s="3">
        <f>'[1]Összesítő H'!Q15</f>
        <v>7346168</v>
      </c>
      <c r="V7" s="16">
        <f>T7/U7</f>
        <v>1.2026079447134888</v>
      </c>
      <c r="W7" s="16">
        <f t="shared" si="5"/>
        <v>0.38646787565513641</v>
      </c>
      <c r="X7" s="25">
        <f>T7/W7</f>
        <v>22859752.534473255</v>
      </c>
      <c r="Y7" s="24">
        <f t="shared" si="22"/>
        <v>0</v>
      </c>
      <c r="Z7" s="3">
        <f t="shared" si="22"/>
        <v>0</v>
      </c>
      <c r="AA7" s="25">
        <f t="shared" si="23"/>
        <v>0</v>
      </c>
      <c r="AB7" s="24">
        <f>'[1]Összesítő H'!AX15</f>
        <v>6427687</v>
      </c>
      <c r="AC7" s="3">
        <f>'[1]Összesítő H'!AY15</f>
        <v>5382625</v>
      </c>
      <c r="AD7" s="16">
        <f>AB7/AC7</f>
        <v>1.1941547107591557</v>
      </c>
      <c r="AE7" s="16">
        <f t="shared" si="6"/>
        <v>0.37898324106239545</v>
      </c>
      <c r="AF7" s="16"/>
      <c r="AG7" s="25">
        <f>AB7/AE7</f>
        <v>16960346.272783477</v>
      </c>
      <c r="AH7" s="24">
        <f>'[1]Összesítő H'!BG15</f>
        <v>2321874</v>
      </c>
      <c r="AI7" s="3">
        <f>'[1]Összesítő H'!BH15</f>
        <v>1959843</v>
      </c>
      <c r="AJ7" s="16">
        <f>AH7/AI7</f>
        <v>1.1847244906862437</v>
      </c>
      <c r="AK7" s="16">
        <f t="shared" si="7"/>
        <v>0.36389768404961031</v>
      </c>
      <c r="AL7" s="16"/>
      <c r="AM7" s="25">
        <f>AH7/AK7</f>
        <v>6380568.225005406</v>
      </c>
      <c r="AN7" s="24">
        <f>'[1]Összesítő H'!BI15</f>
        <v>4232233</v>
      </c>
      <c r="AO7" s="3">
        <f>'[1]Összesítő H'!BJ15</f>
        <v>3661578</v>
      </c>
      <c r="AP7" s="16">
        <f>AN7/AO7</f>
        <v>1.1558494725498132</v>
      </c>
      <c r="AQ7" s="16">
        <f t="shared" si="8"/>
        <v>0.68097091659655196</v>
      </c>
      <c r="AR7" s="16"/>
      <c r="AS7" s="25">
        <f>AN7/AQ7</f>
        <v>6214998.1693086447</v>
      </c>
      <c r="AT7" s="24">
        <f>'[1]Összesítő H'!BK15</f>
        <v>4147234</v>
      </c>
      <c r="AU7" s="3">
        <f>'[1]Összesítő H'!BL15</f>
        <v>3657878</v>
      </c>
      <c r="AV7" s="16">
        <f>AT7/AU7</f>
        <v>1.1337813891004567</v>
      </c>
      <c r="AW7" s="16">
        <f t="shared" si="9"/>
        <v>0.65739106067856257</v>
      </c>
      <c r="AX7" s="25">
        <f t="shared" si="24"/>
        <v>6696160.1326242723</v>
      </c>
      <c r="AY7" s="24">
        <f t="shared" ref="AY7:AY35" si="30">T7</f>
        <v>8834560</v>
      </c>
      <c r="AZ7" s="3">
        <f t="shared" ref="AZ7:AZ29" si="31">U7</f>
        <v>7346168</v>
      </c>
      <c r="BA7" s="16">
        <f>AY7/AZ7</f>
        <v>1.2026079447134888</v>
      </c>
      <c r="BB7" s="16">
        <f t="shared" si="10"/>
        <v>0.38646787565513641</v>
      </c>
      <c r="BC7" s="25">
        <f t="shared" si="25"/>
        <v>22859752.534473255</v>
      </c>
      <c r="BD7" s="24">
        <f t="shared" si="11"/>
        <v>8834560</v>
      </c>
      <c r="BE7" s="3">
        <f t="shared" si="12"/>
        <v>8834560</v>
      </c>
      <c r="BF7" s="3">
        <f t="shared" si="13"/>
        <v>0</v>
      </c>
      <c r="BG7" s="3">
        <f t="shared" si="14"/>
        <v>22859752.534473255</v>
      </c>
      <c r="BH7" s="3">
        <f t="shared" si="15"/>
        <v>22859752.534473255</v>
      </c>
      <c r="BI7" s="25">
        <f t="shared" si="26"/>
        <v>0</v>
      </c>
      <c r="BJ7" s="3">
        <f>[2]Foglalkoztatottak!AD17</f>
        <v>3646400</v>
      </c>
      <c r="BK7" s="3">
        <f>[2]Foglalkoztatottak!AE17</f>
        <v>348800</v>
      </c>
      <c r="BL7" s="77">
        <f>[2]Foglalkoztatottak!AF17</f>
        <v>519656.9888888821</v>
      </c>
      <c r="BM7" s="3">
        <f>[2]Foglalkoztatottak!AG17</f>
        <v>37648.758333333768</v>
      </c>
      <c r="BN7" s="3">
        <f>[2]Foglalkoztatottak!AH17</f>
        <v>289000</v>
      </c>
      <c r="BO7" s="3">
        <f>[2]Foglalkoztatottak!AI17</f>
        <v>752000</v>
      </c>
      <c r="BP7" s="3">
        <f>[2]Foglalkoztatottak!AJ17</f>
        <v>42594.252777784131</v>
      </c>
      <c r="BQ7" s="3">
        <f>[2]Foglalkoztatottak!AK17</f>
        <v>2731900</v>
      </c>
      <c r="BR7" s="3">
        <f t="shared" si="27"/>
        <v>8368000</v>
      </c>
      <c r="BS7" s="44">
        <f t="shared" si="16"/>
        <v>4.7580416301009212</v>
      </c>
      <c r="BT7" s="33">
        <f t="shared" si="17"/>
        <v>9.8761698805207025</v>
      </c>
      <c r="BU7" s="124">
        <f>'[3]Nettó eszközállomány'!B14</f>
        <v>41530</v>
      </c>
      <c r="BV7" s="80">
        <f>'[3]Nettó eszközállomány'!C14</f>
        <v>34361</v>
      </c>
      <c r="BW7" s="125">
        <f t="shared" ref="BW7:BW28" si="32">BU7/BV7</f>
        <v>1.2086376997177033</v>
      </c>
      <c r="BX7" s="125">
        <f t="shared" si="18"/>
        <v>0.39941297011952975</v>
      </c>
      <c r="BY7" s="125"/>
      <c r="BZ7" s="123">
        <f t="shared" si="19"/>
        <v>103977.59488774634</v>
      </c>
      <c r="CA7" s="24"/>
      <c r="CB7" s="3"/>
      <c r="CC7" s="16"/>
      <c r="CD7" s="16"/>
      <c r="CE7" s="16"/>
      <c r="CF7" s="25">
        <f t="shared" si="28"/>
        <v>3835.5617993130727</v>
      </c>
      <c r="CG7" s="24"/>
      <c r="CH7" s="3"/>
      <c r="CI7" s="16"/>
      <c r="CJ7" s="59">
        <f t="shared" ref="CJ7:CJ9" si="33">CJ6+($CJ$10-$CJ$5)/($B$10-$B$5)</f>
        <v>1.0368883489126088</v>
      </c>
      <c r="CK7" s="59"/>
      <c r="CL7" s="25">
        <f t="shared" ref="CL7:CL35" si="34">BZ7*CJ7</f>
        <v>107813.15668705941</v>
      </c>
      <c r="CM7" s="24"/>
      <c r="CN7" s="3"/>
      <c r="CO7" s="16"/>
      <c r="CP7" s="16"/>
      <c r="CQ7" s="16"/>
      <c r="CR7" s="25">
        <f t="shared" ref="CR7:CR9" si="35">CR6+($CR$10-$CR$5)/($B$10-$B$5)</f>
        <v>163187.50659960759</v>
      </c>
      <c r="CS7" s="24"/>
      <c r="CT7" s="3"/>
      <c r="CU7" s="16"/>
      <c r="CV7" s="16"/>
      <c r="CW7" s="16"/>
      <c r="CX7" s="25">
        <f t="shared" si="29"/>
        <v>271000.66328666697</v>
      </c>
    </row>
    <row r="8" spans="2:102" x14ac:dyDescent="0.35">
      <c r="B8">
        <f>'[1]Összesítő H'!B16</f>
        <v>1998</v>
      </c>
      <c r="C8" s="24">
        <f>'[1]Összesítő H'!C16</f>
        <v>20692431</v>
      </c>
      <c r="D8" s="3">
        <f>'[1]Összesítő H'!D16</f>
        <v>18590497</v>
      </c>
      <c r="E8" s="16">
        <f>C8/D8</f>
        <v>1.1130649707751223</v>
      </c>
      <c r="F8" s="16">
        <f t="shared" si="2"/>
        <v>0.53624122833292898</v>
      </c>
      <c r="G8" s="16"/>
      <c r="H8" s="6">
        <f t="shared" ref="H8:H29" si="36">C8/F8</f>
        <v>38587915.114861265</v>
      </c>
      <c r="I8" s="131">
        <f t="shared" si="20"/>
        <v>38587.915114861265</v>
      </c>
      <c r="J8" s="24">
        <f>'[1]Összesítő H'!H16</f>
        <v>9009577</v>
      </c>
      <c r="K8" s="3">
        <f>'[1]Összesítő H'!I16</f>
        <v>7923988</v>
      </c>
      <c r="L8" s="16">
        <f>J8/K8</f>
        <v>1.1370003336703689</v>
      </c>
      <c r="M8" s="16">
        <f t="shared" si="3"/>
        <v>0.45442754855775169</v>
      </c>
      <c r="N8" s="25">
        <f t="shared" ref="N8:N29" si="37">J8/M8</f>
        <v>19826212.184085935</v>
      </c>
      <c r="O8" s="24">
        <f>'[1]Összesítő H'!M16</f>
        <v>1433241</v>
      </c>
      <c r="P8" s="3">
        <f>'[1]Összesítő H'!N16</f>
        <v>1255120</v>
      </c>
      <c r="Q8" s="16">
        <f>O8/P8</f>
        <v>1.141915514054433</v>
      </c>
      <c r="R8" s="16">
        <f t="shared" si="4"/>
        <v>0.36458690131750437</v>
      </c>
      <c r="S8" s="25">
        <f t="shared" si="21"/>
        <v>3925071.1132377274</v>
      </c>
      <c r="T8" s="24">
        <f>'[1]Összesítő H'!P16</f>
        <v>10442818</v>
      </c>
      <c r="U8" s="3">
        <f>'[1]Összesítő H'!Q16</f>
        <v>9179108</v>
      </c>
      <c r="V8" s="16">
        <f>T8/U8</f>
        <v>1.1376724187143239</v>
      </c>
      <c r="W8" s="16">
        <f t="shared" si="5"/>
        <v>0.43967384285196559</v>
      </c>
      <c r="X8" s="25">
        <f t="shared" ref="X8:X29" si="38">T8/W8</f>
        <v>23751283.297323663</v>
      </c>
      <c r="Y8" s="24">
        <f t="shared" si="22"/>
        <v>0</v>
      </c>
      <c r="Z8" s="3">
        <f t="shared" si="22"/>
        <v>0</v>
      </c>
      <c r="AA8" s="25">
        <f t="shared" si="23"/>
        <v>0</v>
      </c>
      <c r="AB8" s="24">
        <f>'[1]Összesítő H'!AX16</f>
        <v>7608028</v>
      </c>
      <c r="AC8" s="3">
        <f>'[1]Összesítő H'!AY16</f>
        <v>6600792</v>
      </c>
      <c r="AD8" s="16">
        <f>AB8/AC8</f>
        <v>1.152593203967039</v>
      </c>
      <c r="AE8" s="16">
        <f t="shared" si="6"/>
        <v>0.43681350806591906</v>
      </c>
      <c r="AF8" s="16"/>
      <c r="AG8" s="25">
        <f t="shared" ref="AG8:AG29" si="39">AB8/AE8</f>
        <v>17417107.89505136</v>
      </c>
      <c r="AH8" s="24">
        <f>'[1]Összesítő H'!BG16</f>
        <v>2998693</v>
      </c>
      <c r="AI8" s="3">
        <f>'[1]Összesítő H'!BH16</f>
        <v>2774414</v>
      </c>
      <c r="AJ8" s="16">
        <f>AH8/AI8</f>
        <v>1.0808383319865025</v>
      </c>
      <c r="AK8" s="16">
        <f t="shared" si="7"/>
        <v>0.39331456584193208</v>
      </c>
      <c r="AL8" s="16"/>
      <c r="AM8" s="25">
        <f t="shared" ref="AM8:AM29" si="40">AH8/AK8</f>
        <v>7624159.5415643342</v>
      </c>
      <c r="AN8" s="24">
        <f>'[1]Összesítő H'!BI16</f>
        <v>5527403</v>
      </c>
      <c r="AO8" s="3">
        <f>'[1]Összesítő H'!BJ16</f>
        <v>4887340</v>
      </c>
      <c r="AP8" s="16">
        <f>AN8/AO8</f>
        <v>1.1309634688808228</v>
      </c>
      <c r="AQ8" s="16">
        <f t="shared" si="8"/>
        <v>0.7701532300409899</v>
      </c>
      <c r="AR8" s="16"/>
      <c r="AS8" s="25">
        <f t="shared" ref="AS8:AS29" si="41">AN8/AQ8</f>
        <v>7177017.2277350761</v>
      </c>
      <c r="AT8" s="24">
        <f>'[1]Összesítő H'!BK16</f>
        <v>5691306</v>
      </c>
      <c r="AU8" s="3">
        <f>'[1]Összesítő H'!BL16</f>
        <v>5083438</v>
      </c>
      <c r="AV8" s="16">
        <f>AT8/AU8</f>
        <v>1.1195781280306754</v>
      </c>
      <c r="AW8" s="16">
        <f t="shared" si="9"/>
        <v>0.73600065309860518</v>
      </c>
      <c r="AX8" s="25">
        <f t="shared" si="24"/>
        <v>8467001.3670271076</v>
      </c>
      <c r="AY8" s="24">
        <f t="shared" si="30"/>
        <v>10442818</v>
      </c>
      <c r="AZ8" s="3">
        <f t="shared" si="31"/>
        <v>9179108</v>
      </c>
      <c r="BA8" s="16">
        <f>AY8/AZ8</f>
        <v>1.1376724187143239</v>
      </c>
      <c r="BB8" s="16">
        <f t="shared" si="10"/>
        <v>0.43967384285196559</v>
      </c>
      <c r="BC8" s="25">
        <f t="shared" si="25"/>
        <v>23751283.297323663</v>
      </c>
      <c r="BD8" s="24">
        <f t="shared" si="11"/>
        <v>10442818</v>
      </c>
      <c r="BE8" s="3">
        <f t="shared" si="12"/>
        <v>10442818</v>
      </c>
      <c r="BF8" s="3">
        <f t="shared" si="13"/>
        <v>0</v>
      </c>
      <c r="BG8" s="3">
        <f t="shared" si="14"/>
        <v>23751283.297323663</v>
      </c>
      <c r="BH8" s="3">
        <f t="shared" si="15"/>
        <v>23751283.297323663</v>
      </c>
      <c r="BI8" s="25">
        <f t="shared" si="26"/>
        <v>0</v>
      </c>
      <c r="BJ8" s="3">
        <f>[2]Foglalkoztatottak!AD18</f>
        <v>3697800</v>
      </c>
      <c r="BK8" s="3">
        <f>[2]Foglalkoztatottak!AE18</f>
        <v>313000</v>
      </c>
      <c r="BL8" s="77">
        <f>[2]Foglalkoztatottak!AF18</f>
        <v>501286.0222222209</v>
      </c>
      <c r="BM8" s="3">
        <f>[2]Foglalkoztatottak!AG18</f>
        <v>41330.221428571269</v>
      </c>
      <c r="BN8" s="3">
        <f>[2]Foglalkoztatottak!AH18</f>
        <v>295500</v>
      </c>
      <c r="BO8" s="3">
        <f>[2]Foglalkoztatottak!AI18</f>
        <v>697000</v>
      </c>
      <c r="BP8" s="3">
        <f>[2]Foglalkoztatottak!AJ18</f>
        <v>23083.756349207833</v>
      </c>
      <c r="BQ8" s="3">
        <f>[2]Foglalkoztatottak!AK18</f>
        <v>2786400</v>
      </c>
      <c r="BR8" s="3">
        <f t="shared" si="27"/>
        <v>8355400</v>
      </c>
      <c r="BS8" s="44">
        <f t="shared" si="16"/>
        <v>5.5958761966574722</v>
      </c>
      <c r="BT8" s="33">
        <f t="shared" si="17"/>
        <v>10.435371062486144</v>
      </c>
      <c r="BU8" s="124">
        <f>'[3]Nettó eszközállomány'!B15</f>
        <v>47406</v>
      </c>
      <c r="BV8" s="80">
        <f>'[3]Nettó eszközállomány'!C15</f>
        <v>42171</v>
      </c>
      <c r="BW8" s="125">
        <f>BU8/BV8</f>
        <v>1.1241374404211424</v>
      </c>
      <c r="BX8" s="125">
        <f>BX9/BW9</f>
        <v>0.44899507390117438</v>
      </c>
      <c r="BY8" s="125"/>
      <c r="BZ8" s="123">
        <f t="shared" si="19"/>
        <v>105582.4501327029</v>
      </c>
      <c r="CA8" s="24"/>
      <c r="CB8" s="3"/>
      <c r="CC8" s="16"/>
      <c r="CD8" s="16"/>
      <c r="CE8" s="16"/>
      <c r="CF8" s="25">
        <f t="shared" si="28"/>
        <v>4728.7229135420494</v>
      </c>
      <c r="CG8" s="24"/>
      <c r="CH8" s="3"/>
      <c r="CI8" s="16"/>
      <c r="CJ8" s="59">
        <f t="shared" si="33"/>
        <v>1.0447870162853645</v>
      </c>
      <c r="CK8" s="59"/>
      <c r="CL8" s="25">
        <f t="shared" si="34"/>
        <v>110311.17304624495</v>
      </c>
      <c r="CM8" s="24"/>
      <c r="CN8" s="3"/>
      <c r="CO8" s="16"/>
      <c r="CP8" s="16"/>
      <c r="CQ8" s="16"/>
      <c r="CR8" s="25">
        <f t="shared" si="35"/>
        <v>166375.83143271509</v>
      </c>
      <c r="CS8" s="24"/>
      <c r="CT8" s="3"/>
      <c r="CU8" s="16"/>
      <c r="CV8" s="16"/>
      <c r="CW8" s="16"/>
      <c r="CX8" s="25">
        <f t="shared" si="29"/>
        <v>276687.00447896007</v>
      </c>
    </row>
    <row r="9" spans="2:102" x14ac:dyDescent="0.35">
      <c r="B9">
        <f>'[1]Összesítő H'!B17</f>
        <v>1999</v>
      </c>
      <c r="C9" s="24">
        <f>'[1]Összesítő H'!C17</f>
        <v>23587112</v>
      </c>
      <c r="D9" s="3">
        <f>'[1]Összesítő H'!D17</f>
        <v>21742915</v>
      </c>
      <c r="E9" s="16">
        <f t="shared" ref="E9:E29" si="42">C9/D9</f>
        <v>1.0848182959828523</v>
      </c>
      <c r="F9" s="16">
        <f t="shared" si="2"/>
        <v>0.58172429555587957</v>
      </c>
      <c r="G9" s="16"/>
      <c r="H9" s="6">
        <f t="shared" si="36"/>
        <v>40546891.680810429</v>
      </c>
      <c r="I9" s="131">
        <f t="shared" si="20"/>
        <v>40546.891680810426</v>
      </c>
      <c r="J9" s="24">
        <f>'[1]Összesítő H'!H17</f>
        <v>9984353</v>
      </c>
      <c r="K9" s="3">
        <f>'[1]Összesítő H'!I17</f>
        <v>9270797</v>
      </c>
      <c r="L9" s="16">
        <f t="shared" ref="L9:L29" si="43">J9/K9</f>
        <v>1.0769681398481705</v>
      </c>
      <c r="M9" s="16">
        <f t="shared" si="3"/>
        <v>0.48940399166600601</v>
      </c>
      <c r="N9" s="25">
        <f t="shared" si="37"/>
        <v>20401045.291869681</v>
      </c>
      <c r="O9" s="24">
        <f>'[1]Összesítő H'!M17</f>
        <v>1653193</v>
      </c>
      <c r="P9" s="3">
        <f>'[1]Összesítő H'!N17</f>
        <v>1492723</v>
      </c>
      <c r="Q9" s="16">
        <f t="shared" ref="Q9:Q29" si="44">O9/P9</f>
        <v>1.1075015257351832</v>
      </c>
      <c r="R9" s="16">
        <f t="shared" si="4"/>
        <v>0.40378054947219877</v>
      </c>
      <c r="S9" s="25">
        <f t="shared" si="21"/>
        <v>4079646.8734451979</v>
      </c>
      <c r="T9" s="24">
        <f>'[1]Összesítő H'!P17</f>
        <v>11637546</v>
      </c>
      <c r="U9" s="3">
        <f>'[1]Összesítő H'!Q17</f>
        <v>10763520</v>
      </c>
      <c r="V9" s="16">
        <f t="shared" ref="V9:V29" si="45">T9/U9</f>
        <v>1.0812026177310026</v>
      </c>
      <c r="W9" s="16">
        <f t="shared" si="5"/>
        <v>0.47537650983939467</v>
      </c>
      <c r="X9" s="25">
        <f t="shared" si="38"/>
        <v>24480692.165314879</v>
      </c>
      <c r="Y9" s="24">
        <f t="shared" si="22"/>
        <v>0</v>
      </c>
      <c r="Z9" s="3">
        <f t="shared" si="22"/>
        <v>0</v>
      </c>
      <c r="AA9" s="25">
        <f t="shared" si="23"/>
        <v>0</v>
      </c>
      <c r="AB9" s="24">
        <f>'[1]Összesítő H'!AX17</f>
        <v>8794997</v>
      </c>
      <c r="AC9" s="3">
        <f>'[1]Összesítő H'!AY17</f>
        <v>8004980</v>
      </c>
      <c r="AD9" s="16">
        <f t="shared" ref="AD9:AD29" si="46">AB9/AC9</f>
        <v>1.0986906900454467</v>
      </c>
      <c r="AE9" s="16">
        <f t="shared" si="6"/>
        <v>0.47992293459811691</v>
      </c>
      <c r="AF9" s="16"/>
      <c r="AG9" s="25">
        <f t="shared" si="39"/>
        <v>18325852.685837675</v>
      </c>
      <c r="AH9" s="24">
        <f>'[1]Összesítő H'!BG17</f>
        <v>3161239</v>
      </c>
      <c r="AI9" s="3">
        <f>'[1]Összesítő H'!BH17</f>
        <v>3024935</v>
      </c>
      <c r="AJ9" s="16">
        <f t="shared" ref="AJ9:AJ29" si="47">AH9/AI9</f>
        <v>1.0450601417881706</v>
      </c>
      <c r="AK9" s="16">
        <f t="shared" si="7"/>
        <v>0.41103737594612233</v>
      </c>
      <c r="AL9" s="16"/>
      <c r="AM9" s="25">
        <f t="shared" si="40"/>
        <v>7690879.6741986955</v>
      </c>
      <c r="AN9" s="24">
        <f>'[1]Összesítő H'!BI17</f>
        <v>6475556</v>
      </c>
      <c r="AO9" s="3">
        <f>'[1]Összesítő H'!BJ17</f>
        <v>6179701</v>
      </c>
      <c r="AP9" s="16">
        <f t="shared" ref="AP9:AP29" si="48">AN9/AO9</f>
        <v>1.0478752936428477</v>
      </c>
      <c r="AQ9" s="16">
        <f t="shared" si="8"/>
        <v>0.80702454207918994</v>
      </c>
      <c r="AR9" s="16"/>
      <c r="AS9" s="25">
        <f t="shared" si="41"/>
        <v>8023988.940059497</v>
      </c>
      <c r="AT9" s="24">
        <f>'[1]Összesítő H'!BK17</f>
        <v>6794246</v>
      </c>
      <c r="AU9" s="3">
        <f>'[1]Összesítő H'!BL17</f>
        <v>6446096</v>
      </c>
      <c r="AV9" s="16">
        <f t="shared" ref="AV9:AV29" si="49">AT9/AU9</f>
        <v>1.0540094345476705</v>
      </c>
      <c r="AW9" s="16">
        <f t="shared" si="9"/>
        <v>0.77575163219917698</v>
      </c>
      <c r="AX9" s="25">
        <f t="shared" si="24"/>
        <v>9560029.1347809844</v>
      </c>
      <c r="AY9" s="24">
        <f t="shared" si="30"/>
        <v>11637546</v>
      </c>
      <c r="AZ9" s="3">
        <f t="shared" si="31"/>
        <v>10763520</v>
      </c>
      <c r="BA9" s="16">
        <f t="shared" ref="BA9:BA29" si="50">AY9/AZ9</f>
        <v>1.0812026177310026</v>
      </c>
      <c r="BB9" s="16">
        <f t="shared" si="10"/>
        <v>0.47537650983939467</v>
      </c>
      <c r="BC9" s="25">
        <f t="shared" si="25"/>
        <v>24480692.165314879</v>
      </c>
      <c r="BD9" s="24">
        <f t="shared" si="11"/>
        <v>11637546</v>
      </c>
      <c r="BE9" s="3">
        <f t="shared" si="12"/>
        <v>11637546</v>
      </c>
      <c r="BF9" s="3">
        <f t="shared" si="13"/>
        <v>0</v>
      </c>
      <c r="BG9" s="3">
        <f t="shared" si="14"/>
        <v>24480692.165314879</v>
      </c>
      <c r="BH9" s="3">
        <f t="shared" si="15"/>
        <v>24480692.165314879</v>
      </c>
      <c r="BI9" s="25">
        <f t="shared" si="26"/>
        <v>0</v>
      </c>
      <c r="BJ9" s="3">
        <f>[2]Foglalkoztatottak!AD19</f>
        <v>3811400</v>
      </c>
      <c r="BK9" s="3">
        <f>[2]Foglalkoztatottak!AE19</f>
        <v>284700</v>
      </c>
      <c r="BL9" s="77">
        <f>[2]Foglalkoztatottak!AF19</f>
        <v>482915.05555555224</v>
      </c>
      <c r="BM9" s="3">
        <f>[2]Foglalkoztatottak!AG19</f>
        <v>45011.684523809701</v>
      </c>
      <c r="BN9" s="3">
        <f>[2]Foglalkoztatottak!AH19</f>
        <v>295300</v>
      </c>
      <c r="BO9" s="3">
        <f>[2]Foglalkoztatottak!AI19</f>
        <v>675600</v>
      </c>
      <c r="BP9" s="3">
        <f>[2]Foglalkoztatottak!AJ19</f>
        <v>21873.259920638055</v>
      </c>
      <c r="BQ9" s="3">
        <f>[2]Foglalkoztatottak!AK19</f>
        <v>2719900</v>
      </c>
      <c r="BR9" s="3">
        <f t="shared" si="27"/>
        <v>8336700</v>
      </c>
      <c r="BS9" s="44">
        <f t="shared" si="16"/>
        <v>6.1885690297528466</v>
      </c>
      <c r="BT9" s="33">
        <f t="shared" si="17"/>
        <v>10.63831969376356</v>
      </c>
      <c r="BU9" s="124">
        <f>'[3]Nettó eszközállomány'!B16</f>
        <v>55852</v>
      </c>
      <c r="BV9" s="80">
        <f>'[3]Nettó eszközállomány'!C16</f>
        <v>48398</v>
      </c>
      <c r="BW9" s="125">
        <f t="shared" si="32"/>
        <v>1.1540146287036654</v>
      </c>
      <c r="BX9" s="125">
        <f t="shared" si="18"/>
        <v>0.51814688349783855</v>
      </c>
      <c r="BY9" s="125"/>
      <c r="BZ9" s="123">
        <f t="shared" si="19"/>
        <v>107791.82849264979</v>
      </c>
      <c r="CA9" s="24"/>
      <c r="CB9" s="3"/>
      <c r="CC9" s="16"/>
      <c r="CD9" s="16"/>
      <c r="CE9" s="16"/>
      <c r="CF9" s="25">
        <f t="shared" si="28"/>
        <v>5679.0861768940958</v>
      </c>
      <c r="CG9" s="24"/>
      <c r="CH9" s="3"/>
      <c r="CI9" s="16"/>
      <c r="CJ9" s="59">
        <f t="shared" si="33"/>
        <v>1.0526856836581202</v>
      </c>
      <c r="CK9" s="59"/>
      <c r="CL9" s="25">
        <f t="shared" si="34"/>
        <v>113470.91466954388</v>
      </c>
      <c r="CM9" s="24"/>
      <c r="CN9" s="3"/>
      <c r="CO9" s="16"/>
      <c r="CP9" s="16"/>
      <c r="CQ9" s="16"/>
      <c r="CR9" s="25">
        <f t="shared" si="35"/>
        <v>169564.15626582259</v>
      </c>
      <c r="CS9" s="24"/>
      <c r="CT9" s="3"/>
      <c r="CU9" s="16"/>
      <c r="CV9" s="16"/>
      <c r="CW9" s="16"/>
      <c r="CX9" s="25">
        <f t="shared" si="29"/>
        <v>283035.07093536644</v>
      </c>
    </row>
    <row r="10" spans="2:102" x14ac:dyDescent="0.35">
      <c r="B10">
        <f>'[1]Összesítő H'!B18</f>
        <v>2000</v>
      </c>
      <c r="C10" s="24">
        <f>'[1]Összesítő H'!C18</f>
        <v>27746073</v>
      </c>
      <c r="D10" s="3">
        <f>'[1]Összesítő H'!D18</f>
        <v>25468061</v>
      </c>
      <c r="E10" s="16">
        <f t="shared" si="42"/>
        <v>1.0894458357077126</v>
      </c>
      <c r="F10" s="16">
        <f t="shared" si="2"/>
        <v>0.63375711132335555</v>
      </c>
      <c r="G10" s="16"/>
      <c r="H10" s="6">
        <f t="shared" si="36"/>
        <v>43780294.539122574</v>
      </c>
      <c r="I10" s="131">
        <f t="shared" si="20"/>
        <v>43780.294539122573</v>
      </c>
      <c r="J10" s="24">
        <f>'[1]Összesítő H'!H18</f>
        <v>11357758</v>
      </c>
      <c r="K10" s="3">
        <f>'[1]Összesítő H'!I18</f>
        <v>10423687</v>
      </c>
      <c r="L10" s="16">
        <f t="shared" si="43"/>
        <v>1.0896104228762817</v>
      </c>
      <c r="M10" s="16">
        <f t="shared" si="3"/>
        <v>0.53325969031653708</v>
      </c>
      <c r="N10" s="25">
        <f t="shared" si="37"/>
        <v>21298737.193614166</v>
      </c>
      <c r="O10" s="24">
        <f>'[1]Összesítő H'!M18</f>
        <v>1966294</v>
      </c>
      <c r="P10" s="3">
        <f>'[1]Összesítő H'!N18</f>
        <v>1735127</v>
      </c>
      <c r="Q10" s="16">
        <f t="shared" si="44"/>
        <v>1.1332277118620135</v>
      </c>
      <c r="R10" s="16">
        <f t="shared" si="4"/>
        <v>0.45757530817276637</v>
      </c>
      <c r="S10" s="25">
        <f t="shared" si="21"/>
        <v>4278492.1148088351</v>
      </c>
      <c r="T10" s="24">
        <f>'[1]Összesítő H'!P18</f>
        <v>13324052</v>
      </c>
      <c r="U10" s="3">
        <f>'[1]Összesítő H'!Q18</f>
        <v>12158814</v>
      </c>
      <c r="V10" s="16">
        <f t="shared" si="45"/>
        <v>1.0958348404704603</v>
      </c>
      <c r="W10" s="16">
        <f t="shared" si="5"/>
        <v>0.52093414182325726</v>
      </c>
      <c r="X10" s="25">
        <f t="shared" si="38"/>
        <v>25577229.308423001</v>
      </c>
      <c r="Y10" s="24">
        <f t="shared" si="22"/>
        <v>0</v>
      </c>
      <c r="Z10" s="3">
        <f t="shared" si="22"/>
        <v>0</v>
      </c>
      <c r="AA10" s="25">
        <f t="shared" si="23"/>
        <v>0</v>
      </c>
      <c r="AB10" s="24">
        <f>'[1]Összesítő H'!AX18</f>
        <v>10076437</v>
      </c>
      <c r="AC10" s="3">
        <f>'[1]Összesítő H'!AY18</f>
        <v>9094891</v>
      </c>
      <c r="AD10" s="16">
        <f t="shared" si="46"/>
        <v>1.1079227887393044</v>
      </c>
      <c r="AE10" s="16">
        <f t="shared" si="6"/>
        <v>0.53171755607989646</v>
      </c>
      <c r="AF10" s="16"/>
      <c r="AG10" s="25">
        <f t="shared" si="39"/>
        <v>18950732.178731941</v>
      </c>
      <c r="AH10" s="24">
        <f>'[1]Összesítő H'!BG18</f>
        <v>3739382</v>
      </c>
      <c r="AI10" s="3">
        <f>'[1]Összesítő H'!BH18</f>
        <v>3338387</v>
      </c>
      <c r="AJ10" s="16">
        <f t="shared" si="47"/>
        <v>1.1201163915387879</v>
      </c>
      <c r="AK10" s="16">
        <f t="shared" si="7"/>
        <v>0.46040970233234274</v>
      </c>
      <c r="AL10" s="16"/>
      <c r="AM10" s="25">
        <f t="shared" si="40"/>
        <v>8121857.5131172184</v>
      </c>
      <c r="AN10" s="24">
        <f>'[1]Összesítő H'!BI18</f>
        <v>8908180</v>
      </c>
      <c r="AO10" s="3">
        <f>'[1]Összesítő H'!BJ18</f>
        <v>8094714</v>
      </c>
      <c r="AP10" s="16">
        <f t="shared" si="48"/>
        <v>1.1004934825368753</v>
      </c>
      <c r="AQ10" s="16">
        <f t="shared" si="8"/>
        <v>0.88812524880545474</v>
      </c>
      <c r="AR10" s="16"/>
      <c r="AS10" s="25">
        <f t="shared" si="41"/>
        <v>10030319.498270847</v>
      </c>
      <c r="AT10" s="24">
        <f>'[1]Összesítő H'!BK18</f>
        <v>9399947</v>
      </c>
      <c r="AU10" s="3">
        <f>'[1]Összesítő H'!BL18</f>
        <v>8369178</v>
      </c>
      <c r="AV10" s="16">
        <f t="shared" si="49"/>
        <v>1.123162513690114</v>
      </c>
      <c r="AW10" s="16">
        <f t="shared" si="9"/>
        <v>0.87129515322003637</v>
      </c>
      <c r="AX10" s="25">
        <f t="shared" si="24"/>
        <v>11525679.881697003</v>
      </c>
      <c r="AY10" s="24">
        <f t="shared" si="30"/>
        <v>13324052</v>
      </c>
      <c r="AZ10" s="3">
        <f t="shared" si="31"/>
        <v>12158814</v>
      </c>
      <c r="BA10" s="16">
        <f t="shared" si="50"/>
        <v>1.0958348404704603</v>
      </c>
      <c r="BB10" s="16">
        <f t="shared" si="10"/>
        <v>0.52093414182325726</v>
      </c>
      <c r="BC10" s="25">
        <f t="shared" si="25"/>
        <v>25577229.308423001</v>
      </c>
      <c r="BD10" s="24">
        <f t="shared" si="11"/>
        <v>13324052</v>
      </c>
      <c r="BE10" s="3">
        <f t="shared" si="12"/>
        <v>13324052</v>
      </c>
      <c r="BF10" s="3">
        <f t="shared" si="13"/>
        <v>0</v>
      </c>
      <c r="BG10" s="3">
        <f t="shared" si="14"/>
        <v>25577229.308423001</v>
      </c>
      <c r="BH10" s="3">
        <f t="shared" si="15"/>
        <v>25577229.308423001</v>
      </c>
      <c r="BI10" s="25">
        <f t="shared" si="26"/>
        <v>0</v>
      </c>
      <c r="BJ10" s="3">
        <f>[2]Foglalkoztatottak!AD20</f>
        <v>3876200</v>
      </c>
      <c r="BK10" s="3">
        <f>[2]Foglalkoztatottak!AE20</f>
        <v>263700</v>
      </c>
      <c r="BL10" s="77">
        <f>[2]Foglalkoztatottak!AF20</f>
        <v>464544.08888888359</v>
      </c>
      <c r="BM10" s="3">
        <f>[2]Foglalkoztatottak!AG20</f>
        <v>48693.147619047202</v>
      </c>
      <c r="BN10" s="3">
        <f>[2]Foglalkoztatottak!AH20</f>
        <v>281400</v>
      </c>
      <c r="BO10" s="3">
        <f>[2]Foglalkoztatottak!AI20</f>
        <v>721700</v>
      </c>
      <c r="BP10" s="3">
        <f>[2]Foglalkoztatottak!AJ20</f>
        <v>58162.763492069207</v>
      </c>
      <c r="BQ10" s="3">
        <f>[2]Foglalkoztatottak!AK20</f>
        <v>2785900</v>
      </c>
      <c r="BR10" s="3">
        <f t="shared" si="27"/>
        <v>8500300</v>
      </c>
      <c r="BS10" s="44">
        <f t="shared" si="16"/>
        <v>7.158060213611269</v>
      </c>
      <c r="BT10" s="33">
        <f t="shared" si="17"/>
        <v>11.294642830380933</v>
      </c>
      <c r="BU10" s="124">
        <f>'[3]Nettó eszközállomány'!B17</f>
        <v>62442</v>
      </c>
      <c r="BV10" s="80">
        <f>'[3]Nettó eszközállomány'!C17</f>
        <v>56537</v>
      </c>
      <c r="BW10" s="125">
        <f t="shared" si="32"/>
        <v>1.1044448768063393</v>
      </c>
      <c r="BX10" s="125">
        <f t="shared" si="18"/>
        <v>0.572264670912359</v>
      </c>
      <c r="BY10" s="125"/>
      <c r="BZ10" s="123">
        <f t="shared" si="19"/>
        <v>109113.84744483526</v>
      </c>
      <c r="CA10" s="24"/>
      <c r="CB10" s="3"/>
      <c r="CC10" s="16"/>
      <c r="CD10" s="59"/>
      <c r="CE10" s="59"/>
      <c r="CF10" s="25">
        <f t="shared" si="28"/>
        <v>6610.5916359273979</v>
      </c>
      <c r="CG10" s="24"/>
      <c r="CH10" s="3"/>
      <c r="CI10" s="16"/>
      <c r="CJ10" s="59">
        <f>CL10/BZ10</f>
        <v>1.0605843510308763</v>
      </c>
      <c r="CK10" s="59"/>
      <c r="CL10" s="81">
        <f>$BX$25/$BX$24*[4]Hungary!$D$32/10^3</f>
        <v>115724.43908076266</v>
      </c>
      <c r="CM10" s="24"/>
      <c r="CN10" s="3"/>
      <c r="CO10" s="16"/>
      <c r="CP10" s="16"/>
      <c r="CQ10" s="16"/>
      <c r="CR10" s="81">
        <f>$BX$25/$BX$24*[4]Hungary!$D$33/10^3</f>
        <v>172752.48109893003</v>
      </c>
      <c r="CS10" s="24"/>
      <c r="CT10" s="3"/>
      <c r="CU10" s="16"/>
      <c r="CV10" s="16"/>
      <c r="CW10" s="16"/>
      <c r="CX10" s="25">
        <f t="shared" si="29"/>
        <v>288476.92017969268</v>
      </c>
    </row>
    <row r="11" spans="2:102" x14ac:dyDescent="0.35">
      <c r="B11">
        <f>'[1]Összesítő H'!B19</f>
        <v>2001</v>
      </c>
      <c r="C11" s="24">
        <f>'[1]Összesítő H'!C19</f>
        <v>31659408</v>
      </c>
      <c r="D11" s="3">
        <f>'[1]Összesítő H'!D19</f>
        <v>30014679</v>
      </c>
      <c r="E11" s="16">
        <f t="shared" si="42"/>
        <v>1.0547974875893225</v>
      </c>
      <c r="F11" s="16">
        <f t="shared" si="2"/>
        <v>0.66848540876574192</v>
      </c>
      <c r="G11" s="16"/>
      <c r="H11" s="6">
        <f t="shared" si="36"/>
        <v>47359908.810058177</v>
      </c>
      <c r="I11" s="131">
        <f t="shared" si="20"/>
        <v>47359.908810058179</v>
      </c>
      <c r="J11" s="24">
        <f>'[1]Összesítő H'!H19</f>
        <v>13307856</v>
      </c>
      <c r="K11" s="3">
        <f>'[1]Összesítő H'!I19</f>
        <v>11841007</v>
      </c>
      <c r="L11" s="16">
        <f t="shared" si="43"/>
        <v>1.1238787376783073</v>
      </c>
      <c r="M11" s="16">
        <f t="shared" si="3"/>
        <v>0.59931922760767475</v>
      </c>
      <c r="N11" s="25">
        <f t="shared" si="37"/>
        <v>22204954.199653283</v>
      </c>
      <c r="O11" s="24">
        <f>'[1]Összesítő H'!M19</f>
        <v>2090844</v>
      </c>
      <c r="P11" s="3">
        <f>'[1]Összesítő H'!N19</f>
        <v>2025879</v>
      </c>
      <c r="Q11" s="16">
        <f t="shared" si="44"/>
        <v>1.032067561784292</v>
      </c>
      <c r="R11" s="16">
        <f t="shared" si="4"/>
        <v>0.47224863263856304</v>
      </c>
      <c r="S11" s="25">
        <f t="shared" si="21"/>
        <v>4414314.6996095404</v>
      </c>
      <c r="T11" s="24">
        <f>'[1]Összesítő H'!P19</f>
        <v>15398700</v>
      </c>
      <c r="U11" s="3">
        <f>'[1]Összesítő H'!Q19</f>
        <v>13866886</v>
      </c>
      <c r="V11" s="16">
        <f t="shared" si="45"/>
        <v>1.1104656085007116</v>
      </c>
      <c r="W11" s="16">
        <f t="shared" si="5"/>
        <v>0.57847944878855939</v>
      </c>
      <c r="X11" s="25">
        <f t="shared" si="38"/>
        <v>26619268.899262823</v>
      </c>
      <c r="Y11" s="24">
        <f t="shared" si="22"/>
        <v>0</v>
      </c>
      <c r="Z11" s="3">
        <f t="shared" si="22"/>
        <v>0</v>
      </c>
      <c r="AA11" s="25">
        <f t="shared" si="23"/>
        <v>0</v>
      </c>
      <c r="AB11" s="24">
        <f>'[1]Összesítő H'!AX19</f>
        <v>11557527</v>
      </c>
      <c r="AC11" s="3">
        <f>'[1]Összesítő H'!AY19</f>
        <v>10517836</v>
      </c>
      <c r="AD11" s="16">
        <f t="shared" si="46"/>
        <v>1.0988502768059893</v>
      </c>
      <c r="AE11" s="16">
        <f t="shared" si="6"/>
        <v>0.58427798368099837</v>
      </c>
      <c r="AF11" s="16"/>
      <c r="AG11" s="25">
        <f t="shared" si="39"/>
        <v>19780870.275458008</v>
      </c>
      <c r="AH11" s="24">
        <f>'[1]Összesítő H'!BG19</f>
        <v>4039882</v>
      </c>
      <c r="AI11" s="3">
        <f>'[1]Összesítő H'!BH19</f>
        <v>3603862</v>
      </c>
      <c r="AJ11" s="16">
        <f t="shared" si="47"/>
        <v>1.1209868746361542</v>
      </c>
      <c r="AK11" s="16">
        <f t="shared" si="7"/>
        <v>0.51611323326969494</v>
      </c>
      <c r="AL11" s="16"/>
      <c r="AM11" s="25">
        <f t="shared" si="40"/>
        <v>7827510.979337668</v>
      </c>
      <c r="AN11" s="24">
        <f>'[1]Összesítő H'!BI19</f>
        <v>9990264</v>
      </c>
      <c r="AO11" s="3">
        <f>'[1]Összesítő H'!BJ19</f>
        <v>9694981</v>
      </c>
      <c r="AP11" s="16">
        <f t="shared" si="48"/>
        <v>1.0304573056925022</v>
      </c>
      <c r="AQ11" s="16">
        <f t="shared" si="8"/>
        <v>0.915175151001552</v>
      </c>
      <c r="AR11" s="16"/>
      <c r="AS11" s="25">
        <f t="shared" si="41"/>
        <v>10916231.706102189</v>
      </c>
      <c r="AT11" s="24">
        <f>'[1]Összesítő H'!BK19</f>
        <v>10188973</v>
      </c>
      <c r="AU11" s="3">
        <f>'[1]Összesítő H'!BL19</f>
        <v>9949793</v>
      </c>
      <c r="AV11" s="16">
        <f t="shared" si="49"/>
        <v>1.0240386910561858</v>
      </c>
      <c r="AW11" s="16">
        <f t="shared" si="9"/>
        <v>0.89223994822704489</v>
      </c>
      <c r="AX11" s="25">
        <f t="shared" si="24"/>
        <v>11905344.06163504</v>
      </c>
      <c r="AY11" s="24">
        <f t="shared" si="30"/>
        <v>15398700</v>
      </c>
      <c r="AZ11" s="3">
        <f t="shared" si="31"/>
        <v>13866886</v>
      </c>
      <c r="BA11" s="16">
        <f t="shared" si="50"/>
        <v>1.1104656085007116</v>
      </c>
      <c r="BB11" s="16">
        <f t="shared" si="10"/>
        <v>0.57847944878855939</v>
      </c>
      <c r="BC11" s="25">
        <f t="shared" si="25"/>
        <v>26619268.899262823</v>
      </c>
      <c r="BD11" s="24">
        <f t="shared" si="11"/>
        <v>15398700</v>
      </c>
      <c r="BE11" s="3">
        <f t="shared" si="12"/>
        <v>15398700</v>
      </c>
      <c r="BF11" s="3">
        <f t="shared" si="13"/>
        <v>0</v>
      </c>
      <c r="BG11" s="3">
        <f t="shared" si="14"/>
        <v>26619268.899262823</v>
      </c>
      <c r="BH11" s="3">
        <f t="shared" si="15"/>
        <v>26619268.899262823</v>
      </c>
      <c r="BI11" s="25">
        <f t="shared" si="26"/>
        <v>0</v>
      </c>
      <c r="BJ11" s="3">
        <f>[2]Foglalkoztatottak!AD21</f>
        <v>3883300</v>
      </c>
      <c r="BK11" s="3">
        <f>[2]Foglalkoztatottak!AE21</f>
        <v>234100</v>
      </c>
      <c r="BL11" s="77">
        <f>[2]Foglalkoztatottak!AF21</f>
        <v>446173.12222222239</v>
      </c>
      <c r="BM11" s="3">
        <f>[2]Foglalkoztatottak!AG21</f>
        <v>52374.610714285634</v>
      </c>
      <c r="BN11" s="3">
        <f>[2]Foglalkoztatottak!AH21</f>
        <v>286600</v>
      </c>
      <c r="BO11" s="3">
        <f>[2]Foglalkoztatottak!AI21</f>
        <v>717900</v>
      </c>
      <c r="BP11" s="3">
        <f>[2]Foglalkoztatottak!AJ21</f>
        <v>103052.26706349198</v>
      </c>
      <c r="BQ11" s="3">
        <f>[2]Foglalkoztatottak!AK21</f>
        <v>2788100</v>
      </c>
      <c r="BR11" s="3">
        <f t="shared" si="27"/>
        <v>8511600</v>
      </c>
      <c r="BS11" s="44">
        <f t="shared" si="16"/>
        <v>8.1527072335384858</v>
      </c>
      <c r="BT11" s="33">
        <f t="shared" si="17"/>
        <v>12.19578935700517</v>
      </c>
      <c r="BU11" s="124">
        <f>'[3]Nettó eszközállomány'!B18</f>
        <v>68500</v>
      </c>
      <c r="BV11" s="80">
        <f>'[3]Nettó eszközállomány'!C18</f>
        <v>63561</v>
      </c>
      <c r="BW11" s="125">
        <f t="shared" si="32"/>
        <v>1.0777048819244506</v>
      </c>
      <c r="BX11" s="125">
        <f t="shared" si="18"/>
        <v>0.61673242959513841</v>
      </c>
      <c r="BY11" s="125"/>
      <c r="BZ11" s="123">
        <f t="shared" si="19"/>
        <v>111069.23637041054</v>
      </c>
      <c r="CA11" s="24"/>
      <c r="CB11" s="3"/>
      <c r="CC11" s="16"/>
      <c r="CD11" s="16"/>
      <c r="CE11" s="16"/>
      <c r="CF11" s="25">
        <f t="shared" si="28"/>
        <v>7865.7452579030069</v>
      </c>
      <c r="CG11" s="24"/>
      <c r="CH11" s="3"/>
      <c r="CI11" s="16"/>
      <c r="CJ11" s="59">
        <f>CJ10+($CJ$15-$CJ$10)/($B$15-$B$10)</f>
        <v>1.0708183968391674</v>
      </c>
      <c r="CK11" s="59"/>
      <c r="CL11" s="25">
        <f t="shared" si="34"/>
        <v>118934.98162831354</v>
      </c>
      <c r="CM11" s="24"/>
      <c r="CN11" s="3"/>
      <c r="CO11" s="16"/>
      <c r="CP11" s="16"/>
      <c r="CQ11" s="16"/>
      <c r="CR11" s="3">
        <f>CR10+($CR$15-$CR$10)/($B$15-$B$10)</f>
        <v>180536.37608318482</v>
      </c>
      <c r="CS11" s="24"/>
      <c r="CT11" s="3"/>
      <c r="CU11" s="16"/>
      <c r="CV11" s="16"/>
      <c r="CW11" s="16"/>
      <c r="CX11" s="25">
        <f t="shared" si="29"/>
        <v>299471.35771149839</v>
      </c>
    </row>
    <row r="12" spans="2:102" x14ac:dyDescent="0.35">
      <c r="B12">
        <f>'[1]Összesítő H'!B20</f>
        <v>2002</v>
      </c>
      <c r="C12" s="24">
        <f>'[1]Összesítő H'!C20</f>
        <v>34656026</v>
      </c>
      <c r="D12" s="3">
        <f>'[1]Összesítő H'!D20</f>
        <v>34085277</v>
      </c>
      <c r="E12" s="16">
        <f t="shared" si="42"/>
        <v>1.0167447370311822</v>
      </c>
      <c r="F12" s="16">
        <f t="shared" si="2"/>
        <v>0.67967902114470657</v>
      </c>
      <c r="G12" s="16"/>
      <c r="H12" s="6">
        <f t="shared" si="36"/>
        <v>50988812.250866257</v>
      </c>
      <c r="I12" s="131">
        <f t="shared" si="20"/>
        <v>50988.812250866256</v>
      </c>
      <c r="J12" s="24">
        <f>'[1]Összesítő H'!H20</f>
        <v>15134489</v>
      </c>
      <c r="K12" s="3">
        <f>'[1]Összesítő H'!I20</f>
        <v>13952616</v>
      </c>
      <c r="L12" s="16">
        <f t="shared" si="43"/>
        <v>1.0847061941645926</v>
      </c>
      <c r="M12" s="16">
        <f t="shared" si="3"/>
        <v>0.65008527846798414</v>
      </c>
      <c r="N12" s="25">
        <f t="shared" si="37"/>
        <v>23280774.847980738</v>
      </c>
      <c r="O12" s="24">
        <f>'[1]Összesítő H'!M20</f>
        <v>2299370</v>
      </c>
      <c r="P12" s="3">
        <f>'[1]Összesítő H'!N20</f>
        <v>2176180</v>
      </c>
      <c r="Q12" s="16">
        <f t="shared" si="44"/>
        <v>1.0566083687930226</v>
      </c>
      <c r="R12" s="16">
        <f t="shared" si="4"/>
        <v>0.49898185739696743</v>
      </c>
      <c r="S12" s="25">
        <f t="shared" si="21"/>
        <v>4600589.0168490633</v>
      </c>
      <c r="T12" s="24">
        <f>'[1]Összesítő H'!P20</f>
        <v>17433859</v>
      </c>
      <c r="U12" s="3">
        <f>'[1]Összesítő H'!Q20</f>
        <v>16128796</v>
      </c>
      <c r="V12" s="16">
        <f t="shared" si="45"/>
        <v>1.0809150912442564</v>
      </c>
      <c r="W12" s="16">
        <f t="shared" si="5"/>
        <v>0.62528716617021285</v>
      </c>
      <c r="X12" s="25">
        <f t="shared" si="38"/>
        <v>27881363.864829801</v>
      </c>
      <c r="Y12" s="24">
        <f t="shared" si="22"/>
        <v>0</v>
      </c>
      <c r="Z12" s="3">
        <f t="shared" si="22"/>
        <v>0</v>
      </c>
      <c r="AA12" s="25">
        <f t="shared" si="23"/>
        <v>0</v>
      </c>
      <c r="AB12" s="24">
        <f>'[1]Összesítő H'!AX20</f>
        <v>13326920</v>
      </c>
      <c r="AC12" s="3">
        <f>'[1]Összesítő H'!AY20</f>
        <v>12390930</v>
      </c>
      <c r="AD12" s="16">
        <f t="shared" si="46"/>
        <v>1.075538317140037</v>
      </c>
      <c r="AE12" s="16">
        <f t="shared" si="6"/>
        <v>0.62841335931023501</v>
      </c>
      <c r="AF12" s="16"/>
      <c r="AG12" s="25">
        <f t="shared" si="39"/>
        <v>21207251.250399929</v>
      </c>
      <c r="AH12" s="24">
        <f>'[1]Összesítő H'!BG20</f>
        <v>4463664</v>
      </c>
      <c r="AI12" s="3">
        <f>'[1]Összesítő H'!BH20</f>
        <v>4245317</v>
      </c>
      <c r="AJ12" s="16">
        <f t="shared" si="47"/>
        <v>1.0514324372008026</v>
      </c>
      <c r="AK12" s="16">
        <f t="shared" si="7"/>
        <v>0.54265819472834165</v>
      </c>
      <c r="AL12" s="16"/>
      <c r="AM12" s="25">
        <f t="shared" si="40"/>
        <v>8225553.4761334257</v>
      </c>
      <c r="AN12" s="24">
        <f>'[1]Összesítő H'!BI20</f>
        <v>10135518</v>
      </c>
      <c r="AO12" s="3">
        <f>'[1]Összesítő H'!BJ20</f>
        <v>10565738</v>
      </c>
      <c r="AP12" s="16">
        <f t="shared" si="48"/>
        <v>0.95928159490610121</v>
      </c>
      <c r="AQ12" s="16">
        <f t="shared" si="8"/>
        <v>0.87791067847120086</v>
      </c>
      <c r="AR12" s="16"/>
      <c r="AS12" s="25">
        <f t="shared" si="41"/>
        <v>11545044.670888448</v>
      </c>
      <c r="AT12" s="24">
        <f>'[1]Összesítő H'!BK20</f>
        <v>10492243</v>
      </c>
      <c r="AU12" s="3">
        <f>'[1]Összesítő H'!BL20</f>
        <v>11073189</v>
      </c>
      <c r="AV12" s="16">
        <f t="shared" si="49"/>
        <v>0.94753580021076134</v>
      </c>
      <c r="AW12" s="16">
        <f t="shared" si="9"/>
        <v>0.84542929332332128</v>
      </c>
      <c r="AX12" s="25">
        <f t="shared" si="24"/>
        <v>13096485.532591999</v>
      </c>
      <c r="AY12" s="24">
        <f t="shared" si="30"/>
        <v>17433859</v>
      </c>
      <c r="AZ12" s="3">
        <f t="shared" si="31"/>
        <v>16128796</v>
      </c>
      <c r="BA12" s="16">
        <f t="shared" si="50"/>
        <v>1.0809150912442564</v>
      </c>
      <c r="BB12" s="16">
        <f t="shared" si="10"/>
        <v>0.62528716617021285</v>
      </c>
      <c r="BC12" s="25">
        <f t="shared" si="25"/>
        <v>27881363.864829801</v>
      </c>
      <c r="BD12" s="24">
        <f t="shared" si="11"/>
        <v>17433859</v>
      </c>
      <c r="BE12" s="3">
        <f t="shared" si="12"/>
        <v>17433859</v>
      </c>
      <c r="BF12" s="3">
        <f t="shared" si="13"/>
        <v>0</v>
      </c>
      <c r="BG12" s="3">
        <f t="shared" si="14"/>
        <v>27881363.864829801</v>
      </c>
      <c r="BH12" s="3">
        <f t="shared" si="15"/>
        <v>27881363.864829801</v>
      </c>
      <c r="BI12" s="25">
        <f t="shared" si="26"/>
        <v>0</v>
      </c>
      <c r="BJ12" s="3">
        <f>[2]Foglalkoztatottak!AD22</f>
        <v>3883700</v>
      </c>
      <c r="BK12" s="3">
        <f>[2]Foglalkoztatottak!AE22</f>
        <v>238900</v>
      </c>
      <c r="BL12" s="77">
        <f>[2]Foglalkoztatottak!AF22</f>
        <v>427802.15555555373</v>
      </c>
      <c r="BM12" s="3">
        <f>[2]Foglalkoztatottak!AG22</f>
        <v>56056.073809524067</v>
      </c>
      <c r="BN12" s="3">
        <f>[2]Foglalkoztatottak!AH22</f>
        <v>286800</v>
      </c>
      <c r="BO12" s="3">
        <f>[2]Foglalkoztatottak!AI22</f>
        <v>738300</v>
      </c>
      <c r="BP12" s="3">
        <f>[2]Foglalkoztatottak!AJ22</f>
        <v>109141.7706349222</v>
      </c>
      <c r="BQ12" s="3">
        <f>[2]Foglalkoztatottak!AK22</f>
        <v>2771000</v>
      </c>
      <c r="BR12" s="3">
        <f t="shared" si="27"/>
        <v>8511700</v>
      </c>
      <c r="BS12" s="44">
        <f t="shared" si="16"/>
        <v>8.9234559826969129</v>
      </c>
      <c r="BT12" s="33">
        <f t="shared" si="17"/>
        <v>13.128926603719714</v>
      </c>
      <c r="BU12" s="124">
        <f>'[3]Nettó eszközállomány'!B19</f>
        <v>72222</v>
      </c>
      <c r="BV12" s="80">
        <f>'[3]Nettó eszközállomány'!C19</f>
        <v>69834</v>
      </c>
      <c r="BW12" s="125">
        <f t="shared" si="32"/>
        <v>1.0341953776097603</v>
      </c>
      <c r="BX12" s="125">
        <f t="shared" si="18"/>
        <v>0.63782182790932906</v>
      </c>
      <c r="BY12" s="125"/>
      <c r="BZ12" s="123">
        <f t="shared" si="19"/>
        <v>113232.2489443978</v>
      </c>
      <c r="CA12" s="24"/>
      <c r="CB12" s="3"/>
      <c r="CC12" s="16"/>
      <c r="CD12" s="16"/>
      <c r="CE12" s="16"/>
      <c r="CF12" s="25">
        <f t="shared" si="28"/>
        <v>9177.7503634085297</v>
      </c>
      <c r="CG12" s="24"/>
      <c r="CH12" s="3"/>
      <c r="CI12" s="16"/>
      <c r="CJ12" s="59">
        <f t="shared" ref="CJ12:CJ14" si="51">CJ11+($CJ$15-$CJ$10)/($B$15-$B$10)</f>
        <v>1.0810524426474584</v>
      </c>
      <c r="CK12" s="59"/>
      <c r="CL12" s="25">
        <f t="shared" si="34"/>
        <v>122409.99930780633</v>
      </c>
      <c r="CM12" s="24"/>
      <c r="CN12" s="3"/>
      <c r="CO12" s="16"/>
      <c r="CP12" s="16"/>
      <c r="CQ12" s="16"/>
      <c r="CR12" s="3">
        <f t="shared" ref="CR12:CR14" si="52">CR11+($CR$15-$CR$10)/($B$15-$B$10)</f>
        <v>188320.27106743961</v>
      </c>
      <c r="CS12" s="24"/>
      <c r="CT12" s="3"/>
      <c r="CU12" s="16"/>
      <c r="CV12" s="16"/>
      <c r="CW12" s="16"/>
      <c r="CX12" s="25">
        <f t="shared" si="29"/>
        <v>310730.27037524595</v>
      </c>
    </row>
    <row r="13" spans="2:102" x14ac:dyDescent="0.35">
      <c r="B13">
        <f>'[1]Összesítő H'!B21</f>
        <v>2003</v>
      </c>
      <c r="C13" s="24">
        <f>'[1]Összesítő H'!C21</f>
        <v>37780177</v>
      </c>
      <c r="D13" s="3">
        <f>'[1]Összesítő H'!D21</f>
        <v>36475310</v>
      </c>
      <c r="E13" s="16">
        <f t="shared" si="42"/>
        <v>1.0357739797139489</v>
      </c>
      <c r="F13" s="16">
        <f t="shared" si="2"/>
        <v>0.70399384465913395</v>
      </c>
      <c r="G13" s="16"/>
      <c r="H13" s="6">
        <f t="shared" si="36"/>
        <v>53665493.365631267</v>
      </c>
      <c r="I13" s="131">
        <f t="shared" si="20"/>
        <v>53665.493365631264</v>
      </c>
      <c r="J13" s="24">
        <f>'[1]Összesítő H'!H21</f>
        <v>16446137</v>
      </c>
      <c r="K13" s="3">
        <f>'[1]Összesítő H'!I21</f>
        <v>15779892</v>
      </c>
      <c r="L13" s="16">
        <f t="shared" si="43"/>
        <v>1.0422211381421369</v>
      </c>
      <c r="M13" s="16">
        <f t="shared" si="3"/>
        <v>0.67753261881435045</v>
      </c>
      <c r="N13" s="25">
        <f t="shared" si="37"/>
        <v>24273572.287604321</v>
      </c>
      <c r="O13" s="24">
        <f>'[1]Összesítő H'!M21</f>
        <v>2687674</v>
      </c>
      <c r="P13" s="3">
        <f>'[1]Összesítő H'!N21</f>
        <v>2366057</v>
      </c>
      <c r="Q13" s="16">
        <f t="shared" si="44"/>
        <v>1.1359295232532436</v>
      </c>
      <c r="R13" s="16">
        <f t="shared" si="4"/>
        <v>0.56680822338495518</v>
      </c>
      <c r="S13" s="25">
        <f t="shared" si="21"/>
        <v>4746612.3279558048</v>
      </c>
      <c r="T13" s="24">
        <f>'[1]Összesítő H'!P21</f>
        <v>19133811</v>
      </c>
      <c r="U13" s="3">
        <f>'[1]Összesítő H'!Q21</f>
        <v>18145949</v>
      </c>
      <c r="V13" s="16">
        <f t="shared" si="45"/>
        <v>1.0544398091276461</v>
      </c>
      <c r="W13" s="16">
        <f t="shared" si="5"/>
        <v>0.65932768014648602</v>
      </c>
      <c r="X13" s="25">
        <f t="shared" si="38"/>
        <v>29020184.615560126</v>
      </c>
      <c r="Y13" s="24">
        <f t="shared" si="22"/>
        <v>0</v>
      </c>
      <c r="Z13" s="3">
        <f t="shared" si="22"/>
        <v>0</v>
      </c>
      <c r="AA13" s="25">
        <f t="shared" si="23"/>
        <v>0</v>
      </c>
      <c r="AB13" s="24">
        <f>'[1]Összesítő H'!AX21</f>
        <v>15179257</v>
      </c>
      <c r="AC13" s="3">
        <f>'[1]Összesítő H'!AY21</f>
        <v>14323161</v>
      </c>
      <c r="AD13" s="16">
        <f t="shared" si="46"/>
        <v>1.0597700465700275</v>
      </c>
      <c r="AE13" s="16">
        <f t="shared" si="6"/>
        <v>0.66597365506143513</v>
      </c>
      <c r="AF13" s="16"/>
      <c r="AG13" s="25">
        <f t="shared" si="39"/>
        <v>22792578.782414049</v>
      </c>
      <c r="AH13" s="24">
        <f>'[1]Összesítő H'!BG21</f>
        <v>4708399</v>
      </c>
      <c r="AI13" s="3">
        <f>'[1]Összesítő H'!BH21</f>
        <v>4536081</v>
      </c>
      <c r="AJ13" s="16">
        <f t="shared" si="47"/>
        <v>1.0379882987098334</v>
      </c>
      <c r="AK13" s="16">
        <f t="shared" si="7"/>
        <v>0.56327285632702084</v>
      </c>
      <c r="AL13" s="16"/>
      <c r="AM13" s="25">
        <f t="shared" si="40"/>
        <v>8359002.1196875004</v>
      </c>
      <c r="AN13" s="24">
        <f>'[1]Összesítő H'!BI21</f>
        <v>10778680</v>
      </c>
      <c r="AO13" s="3">
        <f>'[1]Összesítő H'!BJ21</f>
        <v>10768946</v>
      </c>
      <c r="AP13" s="16">
        <f t="shared" si="48"/>
        <v>1.0009038953301466</v>
      </c>
      <c r="AQ13" s="16">
        <f t="shared" si="8"/>
        <v>0.87870421783375674</v>
      </c>
      <c r="AR13" s="16"/>
      <c r="AS13" s="25">
        <f t="shared" si="41"/>
        <v>12266562.264344603</v>
      </c>
      <c r="AT13" s="24">
        <f>'[1]Összesítő H'!BK21</f>
        <v>11532525</v>
      </c>
      <c r="AU13" s="3">
        <f>'[1]Összesítő H'!BL21</f>
        <v>11482239</v>
      </c>
      <c r="AV13" s="16">
        <f t="shared" si="49"/>
        <v>1.0043794594416646</v>
      </c>
      <c r="AW13" s="16">
        <f t="shared" si="9"/>
        <v>0.84913181662422599</v>
      </c>
      <c r="AX13" s="25">
        <f t="shared" si="24"/>
        <v>14397958.550886024</v>
      </c>
      <c r="AY13" s="24">
        <f t="shared" si="30"/>
        <v>19133811</v>
      </c>
      <c r="AZ13" s="3">
        <f t="shared" si="31"/>
        <v>18145949</v>
      </c>
      <c r="BA13" s="16">
        <f t="shared" si="50"/>
        <v>1.0544398091276461</v>
      </c>
      <c r="BB13" s="16">
        <f t="shared" si="10"/>
        <v>0.65932768014648602</v>
      </c>
      <c r="BC13" s="25">
        <f t="shared" si="25"/>
        <v>29020184.615560126</v>
      </c>
      <c r="BD13" s="24">
        <f t="shared" si="11"/>
        <v>19133811</v>
      </c>
      <c r="BE13" s="3">
        <f t="shared" si="12"/>
        <v>19133811</v>
      </c>
      <c r="BF13" s="3">
        <f t="shared" si="13"/>
        <v>0</v>
      </c>
      <c r="BG13" s="3">
        <f t="shared" si="14"/>
        <v>29020184.615560126</v>
      </c>
      <c r="BH13" s="3">
        <f t="shared" si="15"/>
        <v>29020184.615560126</v>
      </c>
      <c r="BI13" s="25">
        <f t="shared" si="26"/>
        <v>0</v>
      </c>
      <c r="BJ13" s="3">
        <f>[2]Foglalkoztatottak!AD23</f>
        <v>3921900</v>
      </c>
      <c r="BK13" s="3">
        <f>[2]Foglalkoztatottak!AE23</f>
        <v>244500</v>
      </c>
      <c r="BL13" s="77">
        <f>[2]Foglalkoztatottak!AF23</f>
        <v>409431.18888888508</v>
      </c>
      <c r="BM13" s="3">
        <f>[2]Foglalkoztatottak!AG23</f>
        <v>59737.536904761568</v>
      </c>
      <c r="BN13" s="3">
        <f>[2]Foglalkoztatottak!AH23</f>
        <v>286900</v>
      </c>
      <c r="BO13" s="3">
        <f>[2]Foglalkoztatottak!AI23</f>
        <v>730700</v>
      </c>
      <c r="BP13" s="3">
        <f>[2]Foglalkoztatottak!AJ23</f>
        <v>125831.27420635335</v>
      </c>
      <c r="BQ13" s="3">
        <f>[2]Foglalkoztatottak!AK23</f>
        <v>2730600</v>
      </c>
      <c r="BR13" s="3">
        <f t="shared" si="27"/>
        <v>8509600</v>
      </c>
      <c r="BS13" s="44">
        <f t="shared" si="16"/>
        <v>9.6331311354190579</v>
      </c>
      <c r="BT13" s="33">
        <f t="shared" si="17"/>
        <v>13.683544548721606</v>
      </c>
      <c r="BU13" s="124">
        <f>'[3]Nettó eszközállomány'!B20</f>
        <v>76934</v>
      </c>
      <c r="BV13" s="80">
        <f>'[3]Nettó eszközállomány'!C20</f>
        <v>73327</v>
      </c>
      <c r="BW13" s="125">
        <f t="shared" si="32"/>
        <v>1.0491906119164838</v>
      </c>
      <c r="BX13" s="125">
        <f t="shared" si="18"/>
        <v>0.66919667391787918</v>
      </c>
      <c r="BY13" s="125"/>
      <c r="BZ13" s="123">
        <f t="shared" si="19"/>
        <v>114964.70768388936</v>
      </c>
      <c r="CA13" s="24"/>
      <c r="CB13" s="3"/>
      <c r="CC13" s="16"/>
      <c r="CD13" s="16"/>
      <c r="CE13" s="16"/>
      <c r="CF13" s="25">
        <f t="shared" si="28"/>
        <v>10494.724460803962</v>
      </c>
      <c r="CG13" s="24"/>
      <c r="CH13" s="3"/>
      <c r="CI13" s="16"/>
      <c r="CJ13" s="59">
        <f t="shared" si="51"/>
        <v>1.0912864884557494</v>
      </c>
      <c r="CK13" s="59"/>
      <c r="CL13" s="25">
        <f t="shared" si="34"/>
        <v>125459.43214469332</v>
      </c>
      <c r="CM13" s="24"/>
      <c r="CN13" s="3"/>
      <c r="CO13" s="16"/>
      <c r="CP13" s="16"/>
      <c r="CQ13" s="16"/>
      <c r="CR13" s="3">
        <f t="shared" si="52"/>
        <v>196104.1660516944</v>
      </c>
      <c r="CS13" s="24"/>
      <c r="CT13" s="3"/>
      <c r="CU13" s="16"/>
      <c r="CV13" s="16"/>
      <c r="CW13" s="16"/>
      <c r="CX13" s="25">
        <f t="shared" si="29"/>
        <v>321563.5981963877</v>
      </c>
    </row>
    <row r="14" spans="2:102" x14ac:dyDescent="0.35">
      <c r="B14">
        <f>'[1]Összesítő H'!B22</f>
        <v>2004</v>
      </c>
      <c r="C14" s="24">
        <f>'[1]Összesítő H'!C22</f>
        <v>41356171</v>
      </c>
      <c r="D14" s="3">
        <f>'[1]Összesítő H'!D22</f>
        <v>40159770</v>
      </c>
      <c r="E14" s="16">
        <f t="shared" si="42"/>
        <v>1.0297910321697559</v>
      </c>
      <c r="F14" s="16">
        <f t="shared" si="2"/>
        <v>0.72496654793268434</v>
      </c>
      <c r="G14" s="16"/>
      <c r="H14" s="6">
        <f t="shared" si="36"/>
        <v>57045626.612608977</v>
      </c>
      <c r="I14" s="131">
        <f t="shared" si="20"/>
        <v>57045.626612608976</v>
      </c>
      <c r="J14" s="24">
        <f>'[1]Összesítő H'!H22</f>
        <v>18038637</v>
      </c>
      <c r="K14" s="3">
        <f>'[1]Összesítő H'!I22</f>
        <v>17232196</v>
      </c>
      <c r="L14" s="16">
        <f t="shared" si="43"/>
        <v>1.0467985043809855</v>
      </c>
      <c r="M14" s="16">
        <f t="shared" si="3"/>
        <v>0.70924013204419445</v>
      </c>
      <c r="N14" s="25">
        <f t="shared" si="37"/>
        <v>25433751.116153661</v>
      </c>
      <c r="O14" s="24">
        <f>'[1]Összesítő H'!M22</f>
        <v>3038820</v>
      </c>
      <c r="P14" s="3">
        <f>'[1]Összesítő H'!N22</f>
        <v>2824411</v>
      </c>
      <c r="Q14" s="16">
        <f t="shared" si="44"/>
        <v>1.0759128186372309</v>
      </c>
      <c r="R14" s="16">
        <f t="shared" si="4"/>
        <v>0.60983623324886838</v>
      </c>
      <c r="S14" s="25">
        <f t="shared" si="21"/>
        <v>4986034.9840506054</v>
      </c>
      <c r="T14" s="24">
        <f>'[1]Összesítő H'!P22</f>
        <v>21077457</v>
      </c>
      <c r="U14" s="3">
        <f>'[1]Összesítő H'!Q22</f>
        <v>20056607</v>
      </c>
      <c r="V14" s="16">
        <f t="shared" si="45"/>
        <v>1.050898439601474</v>
      </c>
      <c r="W14" s="16">
        <f t="shared" si="5"/>
        <v>0.69288643025200192</v>
      </c>
      <c r="X14" s="25">
        <f t="shared" si="38"/>
        <v>30419786.100204267</v>
      </c>
      <c r="Y14" s="24">
        <f t="shared" si="22"/>
        <v>0</v>
      </c>
      <c r="Z14" s="3">
        <f t="shared" si="22"/>
        <v>0</v>
      </c>
      <c r="AA14" s="25">
        <f t="shared" si="23"/>
        <v>0</v>
      </c>
      <c r="AB14" s="24">
        <f>'[1]Összesítő H'!AX22</f>
        <v>16245509</v>
      </c>
      <c r="AC14" s="3">
        <f>'[1]Összesítő H'!AY22</f>
        <v>15434200</v>
      </c>
      <c r="AD14" s="16">
        <f t="shared" si="46"/>
        <v>1.0525656658589366</v>
      </c>
      <c r="AE14" s="16">
        <f t="shared" si="6"/>
        <v>0.7009810036842492</v>
      </c>
      <c r="AF14" s="16"/>
      <c r="AG14" s="25">
        <f t="shared" si="39"/>
        <v>23175391.222609576</v>
      </c>
      <c r="AH14" s="24">
        <f>'[1]Összesítő H'!BG22</f>
        <v>5666389</v>
      </c>
      <c r="AI14" s="3">
        <f>'[1]Összesítő H'!BH22</f>
        <v>5445161</v>
      </c>
      <c r="AJ14" s="16">
        <f t="shared" si="47"/>
        <v>1.0406283670951144</v>
      </c>
      <c r="AK14" s="16">
        <f t="shared" si="7"/>
        <v>0.58615771270858874</v>
      </c>
      <c r="AL14" s="16"/>
      <c r="AM14" s="25">
        <f t="shared" si="40"/>
        <v>9667004.079526756</v>
      </c>
      <c r="AN14" s="24">
        <f>'[1]Összesítő H'!BI22</f>
        <v>12573628</v>
      </c>
      <c r="AO14" s="3">
        <f>'[1]Összesítő H'!BJ22</f>
        <v>12706702</v>
      </c>
      <c r="AP14" s="16">
        <f t="shared" si="48"/>
        <v>0.98952725892210269</v>
      </c>
      <c r="AQ14" s="16">
        <f t="shared" si="8"/>
        <v>0.8695017760763275</v>
      </c>
      <c r="AR14" s="16"/>
      <c r="AS14" s="25">
        <f t="shared" si="41"/>
        <v>14460727.218682816</v>
      </c>
      <c r="AT14" s="24">
        <f>'[1]Összesítő H'!BK22</f>
        <v>13408069</v>
      </c>
      <c r="AU14" s="3">
        <f>'[1]Összesítő H'!BL22</f>
        <v>13529456</v>
      </c>
      <c r="AV14" s="16">
        <f t="shared" si="49"/>
        <v>0.99102794672601768</v>
      </c>
      <c r="AW14" s="16">
        <f t="shared" si="9"/>
        <v>0.84151336072884009</v>
      </c>
      <c r="AX14" s="25">
        <f t="shared" si="24"/>
        <v>16883336.420614883</v>
      </c>
      <c r="AY14" s="24">
        <f t="shared" si="30"/>
        <v>21077457</v>
      </c>
      <c r="AZ14" s="3">
        <f t="shared" si="31"/>
        <v>20056607</v>
      </c>
      <c r="BA14" s="16">
        <f t="shared" si="50"/>
        <v>1.050898439601474</v>
      </c>
      <c r="BB14" s="16">
        <f t="shared" si="10"/>
        <v>0.69288643025200192</v>
      </c>
      <c r="BC14" s="25">
        <f t="shared" si="25"/>
        <v>30419786.100204267</v>
      </c>
      <c r="BD14" s="24">
        <f t="shared" si="11"/>
        <v>21077457</v>
      </c>
      <c r="BE14" s="3">
        <f t="shared" si="12"/>
        <v>21077457</v>
      </c>
      <c r="BF14" s="3">
        <f t="shared" si="13"/>
        <v>0</v>
      </c>
      <c r="BG14" s="3">
        <f t="shared" si="14"/>
        <v>30419786.100204267</v>
      </c>
      <c r="BH14" s="3">
        <f t="shared" si="15"/>
        <v>30419786.100204267</v>
      </c>
      <c r="BI14" s="25">
        <f t="shared" si="26"/>
        <v>0</v>
      </c>
      <c r="BJ14" s="3">
        <f>[2]Foglalkoztatottak!AD24</f>
        <v>3900400</v>
      </c>
      <c r="BK14" s="3">
        <f>[2]Foglalkoztatottak!AE24</f>
        <v>252900</v>
      </c>
      <c r="BL14" s="77">
        <f>[2]Foglalkoztatottak!AF24</f>
        <v>391060.22222221643</v>
      </c>
      <c r="BM14" s="3">
        <f>[2]Foglalkoztatottak!AG24</f>
        <v>63419</v>
      </c>
      <c r="BN14" s="3">
        <f>[2]Foglalkoztatottak!AH24</f>
        <v>282400</v>
      </c>
      <c r="BO14" s="3">
        <f>[2]Foglalkoztatottak!AI24</f>
        <v>739800</v>
      </c>
      <c r="BP14" s="3">
        <f>[2]Foglalkoztatottak!AJ24</f>
        <v>167920.77777778357</v>
      </c>
      <c r="BQ14" s="3">
        <f>[2]Foglalkoztatottak!AK24</f>
        <v>2716600</v>
      </c>
      <c r="BR14" s="3">
        <f t="shared" si="27"/>
        <v>8514500</v>
      </c>
      <c r="BS14" s="44">
        <f t="shared" si="16"/>
        <v>10.603058917034151</v>
      </c>
      <c r="BT14" s="33">
        <f t="shared" si="17"/>
        <v>14.625583686957485</v>
      </c>
      <c r="BU14" s="124">
        <f>'[3]Nettó eszközállomány'!B21</f>
        <v>81570</v>
      </c>
      <c r="BV14" s="80">
        <f>'[3]Nettó eszközállomány'!C21</f>
        <v>78430</v>
      </c>
      <c r="BW14" s="125">
        <f t="shared" si="32"/>
        <v>1.0400357006247609</v>
      </c>
      <c r="BX14" s="125">
        <f t="shared" si="18"/>
        <v>0.69598843161394119</v>
      </c>
      <c r="BY14" s="125"/>
      <c r="BZ14" s="123">
        <f t="shared" si="19"/>
        <v>117200.2238756264</v>
      </c>
      <c r="CA14" s="24"/>
      <c r="CB14" s="3"/>
      <c r="CC14" s="16"/>
      <c r="CD14" s="16"/>
      <c r="CE14" s="16"/>
      <c r="CF14" s="25">
        <f t="shared" si="28"/>
        <v>11898.229343718733</v>
      </c>
      <c r="CG14" s="24"/>
      <c r="CH14" s="3"/>
      <c r="CI14" s="16"/>
      <c r="CJ14" s="59">
        <f t="shared" si="51"/>
        <v>1.1015205342640404</v>
      </c>
      <c r="CK14" s="59"/>
      <c r="CL14" s="25">
        <f t="shared" si="34"/>
        <v>129098.45321934513</v>
      </c>
      <c r="CM14" s="24"/>
      <c r="CN14" s="3"/>
      <c r="CO14" s="16"/>
      <c r="CP14" s="16"/>
      <c r="CQ14" s="16"/>
      <c r="CR14" s="3">
        <f t="shared" si="52"/>
        <v>203888.06103594918</v>
      </c>
      <c r="CS14" s="24"/>
      <c r="CT14" s="3"/>
      <c r="CU14" s="16"/>
      <c r="CV14" s="16"/>
      <c r="CW14" s="16"/>
      <c r="CX14" s="25">
        <f t="shared" si="29"/>
        <v>332986.51425529434</v>
      </c>
    </row>
    <row r="15" spans="2:102" x14ac:dyDescent="0.35">
      <c r="B15">
        <f>'[1]Összesítő H'!B23</f>
        <v>2005</v>
      </c>
      <c r="C15" s="24">
        <f>'[1]Összesítő H'!C23</f>
        <v>45566084</v>
      </c>
      <c r="D15" s="3">
        <f>'[1]Összesítő H'!D23</f>
        <v>43720201</v>
      </c>
      <c r="E15" s="16">
        <f t="shared" si="42"/>
        <v>1.0422203685660092</v>
      </c>
      <c r="F15" s="16">
        <f t="shared" si="2"/>
        <v>0.75557490278442963</v>
      </c>
      <c r="G15" s="16"/>
      <c r="H15" s="6">
        <f t="shared" si="36"/>
        <v>60306508.106715523</v>
      </c>
      <c r="I15" s="131">
        <f t="shared" si="20"/>
        <v>60306.508106715526</v>
      </c>
      <c r="J15" s="24">
        <f>'[1]Összesítő H'!H23</f>
        <v>19427334</v>
      </c>
      <c r="K15" s="3">
        <f>'[1]Összesítő H'!I23</f>
        <v>18789424</v>
      </c>
      <c r="L15" s="16">
        <f t="shared" si="43"/>
        <v>1.0339504819306862</v>
      </c>
      <c r="M15" s="16">
        <f t="shared" si="3"/>
        <v>0.73331917633167831</v>
      </c>
      <c r="N15" s="25">
        <f t="shared" si="37"/>
        <v>26492330.525409672</v>
      </c>
      <c r="O15" s="24">
        <f>'[1]Összesítő H'!M23</f>
        <v>3121686</v>
      </c>
      <c r="P15" s="3">
        <f>'[1]Összesítő H'!N23</f>
        <v>3182481</v>
      </c>
      <c r="Q15" s="16">
        <f t="shared" si="44"/>
        <v>0.98089697943208454</v>
      </c>
      <c r="R15" s="16">
        <f t="shared" si="4"/>
        <v>0.59818651914205512</v>
      </c>
      <c r="S15" s="25">
        <f t="shared" si="21"/>
        <v>5218356.8840823099</v>
      </c>
      <c r="T15" s="24">
        <f>'[1]Összesítő H'!P23</f>
        <v>22549020</v>
      </c>
      <c r="U15" s="3">
        <f>'[1]Összesítő H'!Q23</f>
        <v>21971905</v>
      </c>
      <c r="V15" s="16">
        <f t="shared" si="45"/>
        <v>1.0262660429307335</v>
      </c>
      <c r="W15" s="16">
        <f t="shared" si="5"/>
        <v>0.71108581497512369</v>
      </c>
      <c r="X15" s="25">
        <f t="shared" si="38"/>
        <v>31710687.409491982</v>
      </c>
      <c r="Y15" s="24">
        <f t="shared" si="22"/>
        <v>0</v>
      </c>
      <c r="Z15" s="3">
        <f t="shared" si="22"/>
        <v>0</v>
      </c>
      <c r="AA15" s="25">
        <f t="shared" si="23"/>
        <v>0</v>
      </c>
      <c r="AB15" s="24">
        <f>'[1]Összesítő H'!AX23</f>
        <v>17360534</v>
      </c>
      <c r="AC15" s="3">
        <f>'[1]Összesítő H'!AY23</f>
        <v>16670220</v>
      </c>
      <c r="AD15" s="16">
        <f t="shared" si="46"/>
        <v>1.0414100113855727</v>
      </c>
      <c r="AE15" s="16">
        <f t="shared" si="6"/>
        <v>0.73000863502788416</v>
      </c>
      <c r="AF15" s="16"/>
      <c r="AG15" s="25">
        <f t="shared" si="39"/>
        <v>23781272.120619338</v>
      </c>
      <c r="AH15" s="24">
        <f>'[1]Összesítő H'!BG23</f>
        <v>5708903</v>
      </c>
      <c r="AI15" s="3">
        <f>'[1]Összesítő H'!BH23</f>
        <v>5572418</v>
      </c>
      <c r="AJ15" s="16">
        <f t="shared" si="47"/>
        <v>1.0244929579941777</v>
      </c>
      <c r="AK15" s="16">
        <f t="shared" si="7"/>
        <v>0.60051444894392347</v>
      </c>
      <c r="AL15" s="16"/>
      <c r="AM15" s="25">
        <f t="shared" si="40"/>
        <v>9506687.1580522154</v>
      </c>
      <c r="AN15" s="24">
        <f>'[1]Összesítő H'!BI23</f>
        <v>14125287</v>
      </c>
      <c r="AO15" s="3">
        <f>'[1]Összesítő H'!BJ23</f>
        <v>14192524</v>
      </c>
      <c r="AP15" s="16">
        <f t="shared" si="48"/>
        <v>0.99526250580939657</v>
      </c>
      <c r="AQ15" s="16">
        <f t="shared" si="8"/>
        <v>0.86538251646344655</v>
      </c>
      <c r="AR15" s="16"/>
      <c r="AS15" s="25">
        <f t="shared" si="41"/>
        <v>16322593.455811569</v>
      </c>
      <c r="AT15" s="24">
        <f>'[1]Összesítő H'!BK23</f>
        <v>14645704</v>
      </c>
      <c r="AU15" s="3">
        <f>'[1]Összesítő H'!BL23</f>
        <v>14463257</v>
      </c>
      <c r="AV15" s="16">
        <f t="shared" si="49"/>
        <v>1.0126145169099878</v>
      </c>
      <c r="AW15" s="16">
        <f t="shared" si="9"/>
        <v>0.85212864524773468</v>
      </c>
      <c r="AX15" s="25">
        <f t="shared" si="24"/>
        <v>17899865.324991141</v>
      </c>
      <c r="AY15" s="24">
        <f t="shared" si="30"/>
        <v>22549020</v>
      </c>
      <c r="AZ15" s="3">
        <f t="shared" si="31"/>
        <v>21971905</v>
      </c>
      <c r="BA15" s="16">
        <f t="shared" si="50"/>
        <v>1.0262660429307335</v>
      </c>
      <c r="BB15" s="16">
        <f t="shared" si="10"/>
        <v>0.71108581497512369</v>
      </c>
      <c r="BC15" s="25">
        <f t="shared" si="25"/>
        <v>31710687.409491982</v>
      </c>
      <c r="BD15" s="24">
        <f t="shared" si="11"/>
        <v>22549020</v>
      </c>
      <c r="BE15" s="3">
        <f t="shared" si="12"/>
        <v>22549020</v>
      </c>
      <c r="BF15" s="3">
        <f t="shared" si="13"/>
        <v>0</v>
      </c>
      <c r="BG15" s="3">
        <f t="shared" si="14"/>
        <v>31710687.409491982</v>
      </c>
      <c r="BH15" s="3">
        <f t="shared" si="15"/>
        <v>31710687.409491982</v>
      </c>
      <c r="BI15" s="25">
        <f t="shared" si="26"/>
        <v>0</v>
      </c>
      <c r="BJ15" s="3">
        <f>[2]Foglalkoztatottak!AD25</f>
        <v>3901500</v>
      </c>
      <c r="BK15" s="3">
        <f>[2]Foglalkoztatottak!AE25</f>
        <v>303900</v>
      </c>
      <c r="BL15" s="77">
        <f>[2]Foglalkoztatottak!AF25</f>
        <v>372689.25555555522</v>
      </c>
      <c r="BM15" s="3">
        <f>[2]Foglalkoztatottak!AG25</f>
        <v>67100.463095238432</v>
      </c>
      <c r="BN15" s="3">
        <f>[2]Foglalkoztatottak!AH25</f>
        <v>278600</v>
      </c>
      <c r="BO15" s="3">
        <f>[2]Foglalkoztatottak!AI25</f>
        <v>740800</v>
      </c>
      <c r="BP15" s="3">
        <f>[2]Foglalkoztatottak!AJ25</f>
        <v>150510.28134920634</v>
      </c>
      <c r="BQ15" s="3">
        <f>[2]Foglalkoztatottak!AK25</f>
        <v>2708000</v>
      </c>
      <c r="BR15" s="3">
        <f t="shared" si="27"/>
        <v>8523100</v>
      </c>
      <c r="BS15" s="44">
        <f t="shared" si="16"/>
        <v>11.67911931308471</v>
      </c>
      <c r="BT15" s="33">
        <f t="shared" si="17"/>
        <v>15.457262106040119</v>
      </c>
      <c r="BU15" s="124">
        <f>'[3]Nettó eszközállomány'!B22</f>
        <v>86016</v>
      </c>
      <c r="BV15" s="80">
        <f>'[3]Nettó eszközállomány'!C22</f>
        <v>83118</v>
      </c>
      <c r="BW15" s="125">
        <f t="shared" si="32"/>
        <v>1.0348660939868621</v>
      </c>
      <c r="BX15" s="125">
        <f t="shared" si="18"/>
        <v>0.72025482968436161</v>
      </c>
      <c r="BY15" s="125"/>
      <c r="BZ15" s="123">
        <f t="shared" si="19"/>
        <v>119424.39877521533</v>
      </c>
      <c r="CA15" s="24"/>
      <c r="CB15" s="3"/>
      <c r="CC15" s="16"/>
      <c r="CD15" s="59"/>
      <c r="CE15" s="59"/>
      <c r="CF15" s="25">
        <f t="shared" si="28"/>
        <v>13346.22353551483</v>
      </c>
      <c r="CG15" s="24"/>
      <c r="CH15" s="3"/>
      <c r="CI15" s="16"/>
      <c r="CJ15" s="59">
        <f>CL15/BZ15</f>
        <v>1.1117545800723314</v>
      </c>
      <c r="CK15" s="59"/>
      <c r="CL15" s="81">
        <f>$BX$25/$BX$24*[4]Hungary!$E$32/10^3</f>
        <v>132770.62231073016</v>
      </c>
      <c r="CM15" s="24"/>
      <c r="CN15" s="3"/>
      <c r="CO15" s="16"/>
      <c r="CP15" s="16"/>
      <c r="CQ15" s="16"/>
      <c r="CR15" s="81">
        <f>$BX$25/$BX$24*[4]Hungary!$E$33/10^3</f>
        <v>211671.956020204</v>
      </c>
      <c r="CS15" s="24"/>
      <c r="CT15" s="3"/>
      <c r="CU15" s="16"/>
      <c r="CV15" s="16"/>
      <c r="CW15" s="16"/>
      <c r="CX15" s="25">
        <f t="shared" si="29"/>
        <v>344442.57833093416</v>
      </c>
    </row>
    <row r="16" spans="2:102" x14ac:dyDescent="0.35">
      <c r="B16">
        <f>'[1]Összesítő H'!B24</f>
        <v>2006</v>
      </c>
      <c r="C16" s="24">
        <f>'[1]Összesítő H'!C24</f>
        <v>50642545</v>
      </c>
      <c r="D16" s="3">
        <f>'[1]Összesítő H'!D24</f>
        <v>47725699</v>
      </c>
      <c r="E16" s="16">
        <f t="shared" si="42"/>
        <v>1.0611168837988103</v>
      </c>
      <c r="F16" s="16">
        <f t="shared" si="2"/>
        <v>0.80175328631920306</v>
      </c>
      <c r="G16" s="16"/>
      <c r="H16" s="6">
        <f t="shared" si="36"/>
        <v>63164748.887399778</v>
      </c>
      <c r="I16" s="131">
        <f t="shared" si="20"/>
        <v>63164.748887399779</v>
      </c>
      <c r="J16" s="24">
        <f>'[1]Összesítő H'!H24</f>
        <v>21111703</v>
      </c>
      <c r="K16" s="3">
        <f>'[1]Összesítő H'!I24</f>
        <v>20204098</v>
      </c>
      <c r="L16" s="16">
        <f t="shared" si="43"/>
        <v>1.0449218272451459</v>
      </c>
      <c r="M16" s="16">
        <f t="shared" si="3"/>
        <v>0.76626121368640265</v>
      </c>
      <c r="N16" s="25">
        <f t="shared" si="37"/>
        <v>27551574.610482763</v>
      </c>
      <c r="O16" s="24">
        <f>'[1]Összesítő H'!M24</f>
        <v>3204596</v>
      </c>
      <c r="P16" s="3">
        <f>'[1]Összesítő H'!N24</f>
        <v>3253876</v>
      </c>
      <c r="Q16" s="16">
        <f t="shared" si="44"/>
        <v>0.98485498525450876</v>
      </c>
      <c r="R16" s="16">
        <f t="shared" si="4"/>
        <v>0.58912697548909465</v>
      </c>
      <c r="S16" s="25">
        <f t="shared" si="21"/>
        <v>5437374.8327298574</v>
      </c>
      <c r="T16" s="24">
        <f>'[1]Összesítő H'!P24</f>
        <v>24316299</v>
      </c>
      <c r="U16" s="3">
        <f>'[1]Összesítő H'!Q24</f>
        <v>23457974</v>
      </c>
      <c r="V16" s="16">
        <f t="shared" si="45"/>
        <v>1.0365899032883232</v>
      </c>
      <c r="W16" s="16">
        <f t="shared" si="5"/>
        <v>0.73710437617476199</v>
      </c>
      <c r="X16" s="25">
        <f t="shared" si="38"/>
        <v>32988949.443212621</v>
      </c>
      <c r="Y16" s="24">
        <f t="shared" si="22"/>
        <v>0</v>
      </c>
      <c r="Z16" s="3">
        <f t="shared" si="22"/>
        <v>0</v>
      </c>
      <c r="AA16" s="25">
        <f t="shared" si="23"/>
        <v>0</v>
      </c>
      <c r="AB16" s="24">
        <f>'[1]Összesítő H'!AX24</f>
        <v>18319915</v>
      </c>
      <c r="AC16" s="3">
        <f>'[1]Összesítő H'!AY24</f>
        <v>17642327</v>
      </c>
      <c r="AD16" s="16">
        <f t="shared" si="46"/>
        <v>1.0384069516453243</v>
      </c>
      <c r="AE16" s="16">
        <f t="shared" si="6"/>
        <v>0.75804604137406928</v>
      </c>
      <c r="AF16" s="16"/>
      <c r="AG16" s="25">
        <f t="shared" si="39"/>
        <v>24167285.362763025</v>
      </c>
      <c r="AH16" s="24">
        <f>'[1]Összesítő H'!BG24</f>
        <v>6271079</v>
      </c>
      <c r="AI16" s="3">
        <f>'[1]Összesítő H'!BH24</f>
        <v>5845281</v>
      </c>
      <c r="AJ16" s="16">
        <f t="shared" si="47"/>
        <v>1.0728447443330782</v>
      </c>
      <c r="AK16" s="16">
        <f t="shared" si="7"/>
        <v>0.6442587704455629</v>
      </c>
      <c r="AL16" s="16"/>
      <c r="AM16" s="25">
        <f t="shared" si="40"/>
        <v>9733789.1041250154</v>
      </c>
      <c r="AN16" s="24">
        <f>'[1]Összesítő H'!BI24</f>
        <v>17962186</v>
      </c>
      <c r="AO16" s="3">
        <f>'[1]Összesítő H'!BJ24</f>
        <v>16882328</v>
      </c>
      <c r="AP16" s="16">
        <f t="shared" si="48"/>
        <v>1.0639638087827699</v>
      </c>
      <c r="AQ16" s="16">
        <f t="shared" si="8"/>
        <v>0.92073567827046665</v>
      </c>
      <c r="AR16" s="16"/>
      <c r="AS16" s="25">
        <f t="shared" si="41"/>
        <v>19508515.22745445</v>
      </c>
      <c r="AT16" s="24">
        <f>'[1]Összesítő H'!BK24</f>
        <v>18236881</v>
      </c>
      <c r="AU16" s="3">
        <f>'[1]Összesítő H'!BL24</f>
        <v>16911962</v>
      </c>
      <c r="AV16" s="16">
        <f t="shared" si="49"/>
        <v>1.0783421225757248</v>
      </c>
      <c r="AW16" s="16">
        <f t="shared" si="9"/>
        <v>0.9188862120240191</v>
      </c>
      <c r="AX16" s="25">
        <f t="shared" si="24"/>
        <v>20420640.251129873</v>
      </c>
      <c r="AY16" s="24">
        <f t="shared" si="30"/>
        <v>24316299</v>
      </c>
      <c r="AZ16" s="3">
        <f t="shared" si="31"/>
        <v>23457974</v>
      </c>
      <c r="BA16" s="16">
        <f t="shared" si="50"/>
        <v>1.0365899032883232</v>
      </c>
      <c r="BB16" s="16">
        <f t="shared" si="10"/>
        <v>0.73710437617476199</v>
      </c>
      <c r="BC16" s="25">
        <f t="shared" si="25"/>
        <v>32988949.443212621</v>
      </c>
      <c r="BD16" s="24">
        <f t="shared" si="11"/>
        <v>24316299</v>
      </c>
      <c r="BE16" s="3">
        <f t="shared" si="12"/>
        <v>24316299</v>
      </c>
      <c r="BF16" s="3">
        <f t="shared" si="13"/>
        <v>0</v>
      </c>
      <c r="BG16" s="3">
        <f t="shared" si="14"/>
        <v>32988949.443212621</v>
      </c>
      <c r="BH16" s="3">
        <f t="shared" si="15"/>
        <v>32988949.443212621</v>
      </c>
      <c r="BI16" s="25">
        <f t="shared" si="26"/>
        <v>0</v>
      </c>
      <c r="BJ16" s="3">
        <f>[2]Foglalkoztatottak!AD26</f>
        <v>3928400</v>
      </c>
      <c r="BK16" s="3">
        <f>[2]Foglalkoztatottak!AE26</f>
        <v>318300</v>
      </c>
      <c r="BL16" s="77">
        <f>[2]Foglalkoztatottak!AF26</f>
        <v>354318.28888888657</v>
      </c>
      <c r="BM16" s="3">
        <f>[2]Foglalkoztatottak!AG26</f>
        <v>70781.926190475933</v>
      </c>
      <c r="BN16" s="3">
        <f>[2]Foglalkoztatottak!AH26</f>
        <v>261100.00000000003</v>
      </c>
      <c r="BO16" s="3">
        <f>[2]Foglalkoztatottak!AI26</f>
        <v>811400</v>
      </c>
      <c r="BP16" s="3">
        <f>[2]Foglalkoztatottak!AJ26</f>
        <v>99199.784920637496</v>
      </c>
      <c r="BQ16" s="3">
        <f>[2]Foglalkoztatottak!AK26</f>
        <v>2686300</v>
      </c>
      <c r="BR16" s="3">
        <f t="shared" si="27"/>
        <v>8529800</v>
      </c>
      <c r="BS16" s="44">
        <f t="shared" si="16"/>
        <v>12.891392169840138</v>
      </c>
      <c r="BT16" s="33">
        <f t="shared" si="17"/>
        <v>16.079001345942313</v>
      </c>
      <c r="BU16" s="124">
        <f>'[3]Nettó eszközállomány'!B23</f>
        <v>93774</v>
      </c>
      <c r="BV16" s="80">
        <f>'[3]Nettó eszközállomány'!C23</f>
        <v>87604</v>
      </c>
      <c r="BW16" s="125">
        <f t="shared" si="32"/>
        <v>1.0704305739463951</v>
      </c>
      <c r="BX16" s="125">
        <f t="shared" si="18"/>
        <v>0.77098279072669418</v>
      </c>
      <c r="BY16" s="125"/>
      <c r="BZ16" s="123">
        <f t="shared" si="19"/>
        <v>121629.17399441924</v>
      </c>
      <c r="CA16" s="24"/>
      <c r="CB16" s="3"/>
      <c r="CC16" s="16"/>
      <c r="CD16" s="16"/>
      <c r="CE16" s="16"/>
      <c r="CF16" s="25">
        <f t="shared" si="28"/>
        <v>14825.563874726751</v>
      </c>
      <c r="CG16" s="24"/>
      <c r="CH16" s="3"/>
      <c r="CI16" s="16"/>
      <c r="CJ16" s="59">
        <f>CJ15+($CJ$20-$CJ$15)/($B$20-$B$15)</f>
        <v>1.1218915116155193</v>
      </c>
      <c r="CK16" s="59"/>
      <c r="CL16" s="25">
        <f t="shared" si="34"/>
        <v>136454.73786914599</v>
      </c>
      <c r="CM16" s="24"/>
      <c r="CN16" s="3"/>
      <c r="CO16" s="16"/>
      <c r="CP16" s="16"/>
      <c r="CQ16" s="16"/>
      <c r="CR16" s="3">
        <f>CR15+($CR$20-$CR$15)/($B$20-$B$15)</f>
        <v>211251.29808122362</v>
      </c>
      <c r="CS16" s="24"/>
      <c r="CT16" s="3"/>
      <c r="CU16" s="16"/>
      <c r="CV16" s="16"/>
      <c r="CW16" s="16"/>
      <c r="CX16" s="25">
        <f t="shared" si="29"/>
        <v>347706.03595036961</v>
      </c>
    </row>
    <row r="17" spans="2:102" x14ac:dyDescent="0.35">
      <c r="B17">
        <f>'[1]Összesítő H'!B25</f>
        <v>2007</v>
      </c>
      <c r="C17" s="24">
        <f>'[1]Összesítő H'!C25</f>
        <v>52708440</v>
      </c>
      <c r="D17" s="3">
        <f>'[1]Összesítő H'!D25</f>
        <v>50695783</v>
      </c>
      <c r="E17" s="16">
        <f t="shared" si="42"/>
        <v>1.0397006788513357</v>
      </c>
      <c r="F17" s="16">
        <f t="shared" si="2"/>
        <v>0.83358343605736474</v>
      </c>
      <c r="G17" s="16"/>
      <c r="H17" s="6">
        <f t="shared" si="36"/>
        <v>63231150.860311434</v>
      </c>
      <c r="I17" s="131">
        <f t="shared" si="20"/>
        <v>63231.150860311434</v>
      </c>
      <c r="J17" s="24">
        <f>'[1]Összesítő H'!H25</f>
        <v>22101834</v>
      </c>
      <c r="K17" s="3">
        <f>'[1]Összesítő H'!I25</f>
        <v>21147705</v>
      </c>
      <c r="L17" s="16">
        <f t="shared" si="43"/>
        <v>1.0451173779849869</v>
      </c>
      <c r="M17" s="16">
        <f t="shared" si="3"/>
        <v>0.80083291049952687</v>
      </c>
      <c r="N17" s="25">
        <f t="shared" si="37"/>
        <v>27598558.588474814</v>
      </c>
      <c r="O17" s="24">
        <f>'[1]Összesítő H'!M25</f>
        <v>3599535</v>
      </c>
      <c r="P17" s="3">
        <f>'[1]Összesítő H'!N25</f>
        <v>3227483</v>
      </c>
      <c r="Q17" s="16">
        <f t="shared" si="44"/>
        <v>1.1152762074966778</v>
      </c>
      <c r="R17" s="16">
        <f t="shared" si="4"/>
        <v>0.65703929895746571</v>
      </c>
      <c r="S17" s="25">
        <f t="shared" si="21"/>
        <v>5470283.2036417797</v>
      </c>
      <c r="T17" s="24">
        <f>'[1]Összesítő H'!P25</f>
        <v>25701369</v>
      </c>
      <c r="U17" s="3">
        <f>'[1]Összesítő H'!Q25</f>
        <v>24375188</v>
      </c>
      <c r="V17" s="16">
        <f t="shared" si="45"/>
        <v>1.0544070060095536</v>
      </c>
      <c r="W17" s="16">
        <f t="shared" si="5"/>
        <v>0.77720801839897058</v>
      </c>
      <c r="X17" s="25">
        <f t="shared" si="38"/>
        <v>33068841.792116594</v>
      </c>
      <c r="Y17" s="24">
        <f t="shared" si="22"/>
        <v>0</v>
      </c>
      <c r="Z17" s="3">
        <f t="shared" si="22"/>
        <v>0</v>
      </c>
      <c r="AA17" s="25">
        <f t="shared" si="23"/>
        <v>0</v>
      </c>
      <c r="AB17" s="24">
        <f>'[1]Összesítő H'!AX25</f>
        <v>19323427</v>
      </c>
      <c r="AC17" s="3">
        <f>'[1]Összesítő H'!AY25</f>
        <v>18226179</v>
      </c>
      <c r="AD17" s="16">
        <f t="shared" si="46"/>
        <v>1.0602017570440847</v>
      </c>
      <c r="AE17" s="16">
        <f t="shared" si="6"/>
        <v>0.80368174498510114</v>
      </c>
      <c r="AF17" s="16"/>
      <c r="AG17" s="25">
        <f t="shared" si="39"/>
        <v>24043630.604497831</v>
      </c>
      <c r="AH17" s="24">
        <f>'[1]Összesítő H'!BG25</f>
        <v>6239747</v>
      </c>
      <c r="AI17" s="3">
        <f>'[1]Összesítő H'!BH25</f>
        <v>6092883</v>
      </c>
      <c r="AJ17" s="16">
        <f t="shared" si="47"/>
        <v>1.024104188444124</v>
      </c>
      <c r="AK17" s="16">
        <f t="shared" si="7"/>
        <v>0.6597881052551624</v>
      </c>
      <c r="AL17" s="16"/>
      <c r="AM17" s="25">
        <f t="shared" si="40"/>
        <v>9457198.3797538728</v>
      </c>
      <c r="AN17" s="24">
        <f>'[1]Összesítő H'!BI25</f>
        <v>20032233</v>
      </c>
      <c r="AO17" s="3">
        <f>'[1]Összesítő H'!BJ25</f>
        <v>20854885</v>
      </c>
      <c r="AP17" s="16">
        <f t="shared" si="48"/>
        <v>0.96055351060435001</v>
      </c>
      <c r="AQ17" s="16">
        <f t="shared" si="8"/>
        <v>0.88441588810137406</v>
      </c>
      <c r="AR17" s="16"/>
      <c r="AS17" s="25">
        <f t="shared" si="41"/>
        <v>22650240.989003867</v>
      </c>
      <c r="AT17" s="24">
        <f>'[1]Összesítő H'!BK25</f>
        <v>19894038</v>
      </c>
      <c r="AU17" s="3">
        <f>'[1]Összesítő H'!BL25</f>
        <v>20798759</v>
      </c>
      <c r="AV17" s="16">
        <f t="shared" si="49"/>
        <v>0.95650120278810868</v>
      </c>
      <c r="AW17" s="16">
        <f t="shared" si="9"/>
        <v>0.8789157670263833</v>
      </c>
      <c r="AX17" s="25">
        <f t="shared" si="24"/>
        <v>23082228.181138981</v>
      </c>
      <c r="AY17" s="24">
        <f t="shared" si="30"/>
        <v>25701369</v>
      </c>
      <c r="AZ17" s="3">
        <f t="shared" si="31"/>
        <v>24375188</v>
      </c>
      <c r="BA17" s="16">
        <f t="shared" si="50"/>
        <v>1.0544070060095536</v>
      </c>
      <c r="BB17" s="16">
        <f t="shared" si="10"/>
        <v>0.77720801839897058</v>
      </c>
      <c r="BC17" s="25">
        <f t="shared" si="25"/>
        <v>33068841.792116594</v>
      </c>
      <c r="BD17" s="24">
        <f t="shared" si="11"/>
        <v>25701369</v>
      </c>
      <c r="BE17" s="3">
        <f t="shared" si="12"/>
        <v>25701369</v>
      </c>
      <c r="BF17" s="3">
        <f t="shared" si="13"/>
        <v>0</v>
      </c>
      <c r="BG17" s="3">
        <f t="shared" si="14"/>
        <v>33068841.792116594</v>
      </c>
      <c r="BH17" s="3">
        <f t="shared" si="15"/>
        <v>33068841.792116594</v>
      </c>
      <c r="BI17" s="25">
        <f t="shared" si="26"/>
        <v>0</v>
      </c>
      <c r="BJ17" s="3">
        <f>[2]Foglalkoztatottak!AD27</f>
        <v>3902000</v>
      </c>
      <c r="BK17" s="3">
        <f>[2]Foglalkoztatottak!AE27</f>
        <v>312100</v>
      </c>
      <c r="BL17" s="77">
        <f>[2]Foglalkoztatottak!AF27</f>
        <v>335947.32222221792</v>
      </c>
      <c r="BM17" s="3">
        <f>[2]Foglalkoztatottak!AG27</f>
        <v>74463.389285714366</v>
      </c>
      <c r="BN17" s="3">
        <f>[2]Foglalkoztatottak!AH27</f>
        <v>273900</v>
      </c>
      <c r="BO17" s="3">
        <f>[2]Foglalkoztatottak!AI27</f>
        <v>822700</v>
      </c>
      <c r="BP17" s="3">
        <f>[2]Foglalkoztatottak!AJ27</f>
        <v>109289.28849206778</v>
      </c>
      <c r="BQ17" s="3">
        <f>[2]Foglalkoztatottak!AK27</f>
        <v>2706100</v>
      </c>
      <c r="BR17" s="3">
        <f t="shared" si="27"/>
        <v>8536500</v>
      </c>
      <c r="BS17" s="44">
        <f t="shared" si="16"/>
        <v>13.508057406458226</v>
      </c>
      <c r="BT17" s="33">
        <f t="shared" si="17"/>
        <v>16.204805448567768</v>
      </c>
      <c r="BU17" s="124">
        <f>'[3]Nettó eszközállomány'!B24</f>
        <v>100692</v>
      </c>
      <c r="BV17" s="80">
        <f>'[3]Nettó eszközállomány'!C24</f>
        <v>95458</v>
      </c>
      <c r="BW17" s="125">
        <f t="shared" si="32"/>
        <v>1.0548303966142178</v>
      </c>
      <c r="BX17" s="125">
        <f t="shared" si="18"/>
        <v>0.81325608292497531</v>
      </c>
      <c r="BY17" s="125"/>
      <c r="BZ17" s="123">
        <f t="shared" si="19"/>
        <v>123813.39914218515</v>
      </c>
      <c r="CA17" s="24"/>
      <c r="CB17" s="3"/>
      <c r="CC17" s="16"/>
      <c r="CD17" s="16"/>
      <c r="CE17" s="16"/>
      <c r="CF17" s="25">
        <f t="shared" si="28"/>
        <v>16346.890330930313</v>
      </c>
      <c r="CG17" s="24"/>
      <c r="CH17" s="3"/>
      <c r="CI17" s="16"/>
      <c r="CJ17" s="59">
        <f t="shared" ref="CJ17:CJ19" si="53">CJ16+($CJ$20-$CJ$15)/($B$20-$B$15)</f>
        <v>1.1320284431587071</v>
      </c>
      <c r="CK17" s="59"/>
      <c r="CL17" s="25">
        <f t="shared" si="34"/>
        <v>140160.28947311547</v>
      </c>
      <c r="CM17" s="24"/>
      <c r="CN17" s="3"/>
      <c r="CO17" s="16"/>
      <c r="CP17" s="16"/>
      <c r="CQ17" s="16"/>
      <c r="CR17" s="3">
        <f t="shared" ref="CR17:CR19" si="54">CR16+($CR$20-$CR$15)/($B$20-$B$15)</f>
        <v>210830.64014224324</v>
      </c>
      <c r="CS17" s="24"/>
      <c r="CT17" s="3"/>
      <c r="CU17" s="16"/>
      <c r="CV17" s="16"/>
      <c r="CW17" s="16"/>
      <c r="CX17" s="25">
        <f t="shared" si="29"/>
        <v>350990.92961535871</v>
      </c>
    </row>
    <row r="18" spans="2:102" x14ac:dyDescent="0.35">
      <c r="B18">
        <f>'[1]Összesítő H'!B26</f>
        <v>2008</v>
      </c>
      <c r="C18" s="24">
        <f>'[1]Összesítő H'!C26</f>
        <v>56386930</v>
      </c>
      <c r="D18" s="3">
        <f>'[1]Összesítő H'!D26</f>
        <v>54249201</v>
      </c>
      <c r="E18" s="16">
        <f t="shared" si="42"/>
        <v>1.0394057232289928</v>
      </c>
      <c r="F18" s="16">
        <f t="shared" si="2"/>
        <v>0.86643139422691406</v>
      </c>
      <c r="G18" s="16"/>
      <c r="H18" s="6">
        <f t="shared" si="36"/>
        <v>65079509.324927054</v>
      </c>
      <c r="I18" s="131">
        <f t="shared" si="20"/>
        <v>65079.509324927058</v>
      </c>
      <c r="J18" s="24">
        <f>'[1]Összesítő H'!H26</f>
        <v>23313590</v>
      </c>
      <c r="K18" s="3">
        <f>'[1]Összesítő H'!I26</f>
        <v>22300401</v>
      </c>
      <c r="L18" s="16">
        <f t="shared" si="43"/>
        <v>1.0454336673138747</v>
      </c>
      <c r="M18" s="16">
        <f t="shared" si="3"/>
        <v>0.8372176865291644</v>
      </c>
      <c r="N18" s="25">
        <f t="shared" si="37"/>
        <v>27846509.187653042</v>
      </c>
      <c r="O18" s="24">
        <f>'[1]Összesítő H'!M26</f>
        <v>3903775</v>
      </c>
      <c r="P18" s="3">
        <f>'[1]Összesítő H'!N26</f>
        <v>3672963</v>
      </c>
      <c r="Q18" s="16">
        <f t="shared" si="44"/>
        <v>1.0628408181623392</v>
      </c>
      <c r="R18" s="16">
        <f t="shared" si="4"/>
        <v>0.69832818606876268</v>
      </c>
      <c r="S18" s="25">
        <f t="shared" si="21"/>
        <v>5572296.8271182589</v>
      </c>
      <c r="T18" s="24">
        <f>'[1]Összesítő H'!P26</f>
        <v>27217365</v>
      </c>
      <c r="U18" s="3">
        <f>'[1]Összesítő H'!Q26</f>
        <v>25973364</v>
      </c>
      <c r="V18" s="16">
        <f t="shared" si="45"/>
        <v>1.0478952591585748</v>
      </c>
      <c r="W18" s="16">
        <f t="shared" si="5"/>
        <v>0.81443259786031164</v>
      </c>
      <c r="X18" s="25">
        <f t="shared" si="38"/>
        <v>33418806.014771301</v>
      </c>
      <c r="Y18" s="24">
        <f t="shared" si="22"/>
        <v>0</v>
      </c>
      <c r="Z18" s="3">
        <f t="shared" si="22"/>
        <v>0</v>
      </c>
      <c r="AA18" s="25">
        <f t="shared" si="23"/>
        <v>0</v>
      </c>
      <c r="AB18" s="24">
        <f>'[1]Összesítő H'!AX26</f>
        <v>20418236</v>
      </c>
      <c r="AC18" s="3">
        <f>'[1]Összesítő H'!AY26</f>
        <v>19308917</v>
      </c>
      <c r="AD18" s="16">
        <f t="shared" si="46"/>
        <v>1.0574511247834355</v>
      </c>
      <c r="AE18" s="16">
        <f t="shared" si="6"/>
        <v>0.84985416520240942</v>
      </c>
      <c r="AF18" s="16"/>
      <c r="AG18" s="25">
        <f t="shared" si="39"/>
        <v>24025576.194166202</v>
      </c>
      <c r="AH18" s="24">
        <f>'[1]Összesítő H'!BG26</f>
        <v>6702203</v>
      </c>
      <c r="AI18" s="3">
        <f>'[1]Összesítő H'!BH26</f>
        <v>6380550</v>
      </c>
      <c r="AJ18" s="16">
        <f t="shared" si="47"/>
        <v>1.050411484903339</v>
      </c>
      <c r="AK18" s="16">
        <f t="shared" si="7"/>
        <v>0.69304900336263564</v>
      </c>
      <c r="AL18" s="16"/>
      <c r="AM18" s="25">
        <f t="shared" si="40"/>
        <v>9670604.7732285596</v>
      </c>
      <c r="AN18" s="24">
        <f>'[1]Összesítő H'!BI26</f>
        <v>21576756</v>
      </c>
      <c r="AO18" s="3">
        <f>'[1]Összesítő H'!BJ26</f>
        <v>21372718</v>
      </c>
      <c r="AP18" s="16">
        <f t="shared" si="48"/>
        <v>1.0095466566301956</v>
      </c>
      <c r="AQ18" s="16">
        <f t="shared" si="8"/>
        <v>0.89285910290336734</v>
      </c>
      <c r="AR18" s="16"/>
      <c r="AS18" s="25">
        <f t="shared" si="41"/>
        <v>24165913.669735208</v>
      </c>
      <c r="AT18" s="24">
        <f>'[1]Összesítő H'!BK26</f>
        <v>21479830</v>
      </c>
      <c r="AU18" s="3">
        <f>'[1]Összesítő H'!BL26</f>
        <v>21088821</v>
      </c>
      <c r="AV18" s="16">
        <f t="shared" si="49"/>
        <v>1.0185410554719962</v>
      </c>
      <c r="AW18" s="16">
        <f t="shared" si="9"/>
        <v>0.89521179301803155</v>
      </c>
      <c r="AX18" s="25">
        <f t="shared" si="24"/>
        <v>24443288.622358669</v>
      </c>
      <c r="AY18" s="24">
        <f t="shared" si="30"/>
        <v>27217365</v>
      </c>
      <c r="AZ18" s="3">
        <f t="shared" si="31"/>
        <v>25973364</v>
      </c>
      <c r="BA18" s="16">
        <f t="shared" si="50"/>
        <v>1.0478952591585748</v>
      </c>
      <c r="BB18" s="16">
        <f t="shared" si="10"/>
        <v>0.81443259786031164</v>
      </c>
      <c r="BC18" s="25">
        <f t="shared" si="25"/>
        <v>33418806.014771301</v>
      </c>
      <c r="BD18" s="24">
        <f t="shared" si="11"/>
        <v>27217365</v>
      </c>
      <c r="BE18" s="3">
        <f t="shared" si="12"/>
        <v>27217365</v>
      </c>
      <c r="BF18" s="3">
        <f t="shared" si="13"/>
        <v>0</v>
      </c>
      <c r="BG18" s="3">
        <f t="shared" si="14"/>
        <v>33418806.014771301</v>
      </c>
      <c r="BH18" s="3">
        <f t="shared" si="15"/>
        <v>33418806.014771301</v>
      </c>
      <c r="BI18" s="25">
        <f t="shared" si="26"/>
        <v>0</v>
      </c>
      <c r="BJ18" s="3">
        <f>[2]Foglalkoztatottak!AD28</f>
        <v>3848300</v>
      </c>
      <c r="BK18" s="3">
        <f>[2]Foglalkoztatottak!AE28</f>
        <v>326400</v>
      </c>
      <c r="BL18" s="77">
        <f>[2]Foglalkoztatottak!AF28</f>
        <v>317576.35555554926</v>
      </c>
      <c r="BM18" s="3">
        <f>[2]Foglalkoztatottak!AG28</f>
        <v>78144.852380952798</v>
      </c>
      <c r="BN18" s="3">
        <f>[2]Foglalkoztatottak!AH28</f>
        <v>282200</v>
      </c>
      <c r="BO18" s="3">
        <f>[2]Foglalkoztatottak!AI28</f>
        <v>814300</v>
      </c>
      <c r="BP18" s="3">
        <f>[2]Foglalkoztatottak!AJ28</f>
        <v>153278.79206349794</v>
      </c>
      <c r="BQ18" s="3">
        <f>[2]Foglalkoztatottak!AK28</f>
        <v>2718300</v>
      </c>
      <c r="BR18" s="3">
        <f t="shared" si="27"/>
        <v>8538500</v>
      </c>
      <c r="BS18" s="44">
        <f t="shared" si="16"/>
        <v>14.65242574643349</v>
      </c>
      <c r="BT18" s="33">
        <f t="shared" si="17"/>
        <v>16.911235954818245</v>
      </c>
      <c r="BU18" s="124">
        <f>'[3]Nettó eszközállomány'!B25</f>
        <v>107826</v>
      </c>
      <c r="BV18" s="80">
        <f>'[3]Nettó eszközállomány'!C25</f>
        <v>102623</v>
      </c>
      <c r="BW18" s="125">
        <f t="shared" si="32"/>
        <v>1.0507001354472194</v>
      </c>
      <c r="BX18" s="125">
        <f t="shared" si="18"/>
        <v>0.85448827648254666</v>
      </c>
      <c r="BY18" s="125"/>
      <c r="BZ18" s="123">
        <f t="shared" si="19"/>
        <v>126187.80499114595</v>
      </c>
      <c r="CA18" s="24"/>
      <c r="CB18" s="3"/>
      <c r="CC18" s="16"/>
      <c r="CD18" s="16"/>
      <c r="CE18" s="16"/>
      <c r="CF18" s="25">
        <f t="shared" si="28"/>
        <v>17939.536579375927</v>
      </c>
      <c r="CG18" s="24"/>
      <c r="CH18" s="3"/>
      <c r="CI18" s="16"/>
      <c r="CJ18" s="59">
        <f t="shared" si="53"/>
        <v>1.1421653747018949</v>
      </c>
      <c r="CK18" s="59"/>
      <c r="CL18" s="25">
        <f t="shared" si="34"/>
        <v>144127.34157052188</v>
      </c>
      <c r="CM18" s="24"/>
      <c r="CN18" s="3"/>
      <c r="CO18" s="16"/>
      <c r="CP18" s="16"/>
      <c r="CQ18" s="16"/>
      <c r="CR18" s="3">
        <f t="shared" si="54"/>
        <v>210409.98220326286</v>
      </c>
      <c r="CS18" s="24"/>
      <c r="CT18" s="3"/>
      <c r="CU18" s="16"/>
      <c r="CV18" s="16"/>
      <c r="CW18" s="16"/>
      <c r="CX18" s="25">
        <f t="shared" si="29"/>
        <v>354537.32377378474</v>
      </c>
    </row>
    <row r="19" spans="2:102" x14ac:dyDescent="0.35">
      <c r="B19">
        <f>'[1]Összesítő H'!B27</f>
        <v>2009</v>
      </c>
      <c r="C19" s="24">
        <f>'[1]Összesítő H'!C27</f>
        <v>52605415</v>
      </c>
      <c r="D19" s="3">
        <f>'[1]Összesítő H'!D27</f>
        <v>51285107</v>
      </c>
      <c r="E19" s="16">
        <f t="shared" si="42"/>
        <v>1.0257444719770206</v>
      </c>
      <c r="F19" s="16">
        <f t="shared" si="2"/>
        <v>0.88873721297559971</v>
      </c>
      <c r="G19" s="16"/>
      <c r="H19" s="6">
        <f t="shared" si="36"/>
        <v>59191191.987866364</v>
      </c>
      <c r="I19" s="131">
        <f t="shared" si="20"/>
        <v>59191.191987866361</v>
      </c>
      <c r="J19" s="24">
        <f>'[1]Összesítő H'!H27</f>
        <v>22485632</v>
      </c>
      <c r="K19" s="3">
        <f>'[1]Összesítő H'!I27</f>
        <v>21735677</v>
      </c>
      <c r="L19" s="16">
        <f t="shared" si="43"/>
        <v>1.0345034111428872</v>
      </c>
      <c r="M19" s="16">
        <f t="shared" si="3"/>
        <v>0.86610455258357699</v>
      </c>
      <c r="N19" s="25">
        <f t="shared" si="37"/>
        <v>25961798.645354874</v>
      </c>
      <c r="O19" s="24">
        <f>'[1]Összesítő H'!M27</f>
        <v>3972632</v>
      </c>
      <c r="P19" s="3">
        <f>'[1]Összesítő H'!N27</f>
        <v>3658246</v>
      </c>
      <c r="Q19" s="16">
        <f t="shared" si="44"/>
        <v>1.0859389991815751</v>
      </c>
      <c r="R19" s="16">
        <f t="shared" si="4"/>
        <v>0.75834181147979685</v>
      </c>
      <c r="S19" s="25">
        <f t="shared" si="21"/>
        <v>5218096.4947896376</v>
      </c>
      <c r="T19" s="24">
        <f>'[1]Összesítő H'!P27</f>
        <v>26458264</v>
      </c>
      <c r="U19" s="3">
        <f>'[1]Összesítő H'!Q27</f>
        <v>25393923</v>
      </c>
      <c r="V19" s="16">
        <f t="shared" si="45"/>
        <v>1.0419132167960028</v>
      </c>
      <c r="W19" s="16">
        <f t="shared" si="5"/>
        <v>0.84856808790016258</v>
      </c>
      <c r="X19" s="25">
        <f t="shared" si="38"/>
        <v>31179895.140144512</v>
      </c>
      <c r="Y19" s="24">
        <f t="shared" si="22"/>
        <v>0</v>
      </c>
      <c r="Z19" s="3">
        <f t="shared" si="22"/>
        <v>0</v>
      </c>
      <c r="AA19" s="25">
        <f t="shared" si="23"/>
        <v>0</v>
      </c>
      <c r="AB19" s="24">
        <f>'[1]Összesítő H'!AX27</f>
        <v>20030361</v>
      </c>
      <c r="AC19" s="3">
        <f>'[1]Összesítő H'!AY27</f>
        <v>19480301</v>
      </c>
      <c r="AD19" s="16">
        <f t="shared" si="46"/>
        <v>1.0282367300176727</v>
      </c>
      <c r="AE19" s="16">
        <f t="shared" si="6"/>
        <v>0.87385126781962441</v>
      </c>
      <c r="AF19" s="16"/>
      <c r="AG19" s="25">
        <f t="shared" si="39"/>
        <v>22921933.900695052</v>
      </c>
      <c r="AH19" s="24">
        <f>'[1]Összesítő H'!BG27</f>
        <v>5361326</v>
      </c>
      <c r="AI19" s="3">
        <f>'[1]Összesítő H'!BH27</f>
        <v>5007572</v>
      </c>
      <c r="AJ19" s="16">
        <f t="shared" si="47"/>
        <v>1.07064381700353</v>
      </c>
      <c r="AK19" s="16">
        <f t="shared" si="7"/>
        <v>0.74200863033066444</v>
      </c>
      <c r="AL19" s="16"/>
      <c r="AM19" s="25">
        <f t="shared" si="40"/>
        <v>7225422.698400165</v>
      </c>
      <c r="AN19" s="24">
        <f>'[1]Összesítő H'!BI27</f>
        <v>19684848</v>
      </c>
      <c r="AO19" s="3">
        <f>'[1]Összesítő H'!BJ27</f>
        <v>19262908</v>
      </c>
      <c r="AP19" s="16">
        <f t="shared" si="48"/>
        <v>1.0219042732281127</v>
      </c>
      <c r="AQ19" s="16">
        <f t="shared" si="8"/>
        <v>0.91241653264757028</v>
      </c>
      <c r="AR19" s="16"/>
      <c r="AS19" s="25">
        <f t="shared" si="41"/>
        <v>21574409.598739114</v>
      </c>
      <c r="AT19" s="24">
        <f>'[1]Összesítő H'!BK27</f>
        <v>18618271</v>
      </c>
      <c r="AU19" s="3">
        <f>'[1]Összesítő H'!BL27</f>
        <v>18356858</v>
      </c>
      <c r="AV19" s="16">
        <f t="shared" si="49"/>
        <v>1.0142406178660859</v>
      </c>
      <c r="AW19" s="16">
        <f t="shared" si="9"/>
        <v>0.9079601620716149</v>
      </c>
      <c r="AX19" s="25">
        <f t="shared" si="24"/>
        <v>20541871.057689816</v>
      </c>
      <c r="AY19" s="24">
        <f t="shared" si="30"/>
        <v>26458264</v>
      </c>
      <c r="AZ19" s="3">
        <f t="shared" si="31"/>
        <v>25393923</v>
      </c>
      <c r="BA19" s="16">
        <f t="shared" si="50"/>
        <v>1.0419132167960028</v>
      </c>
      <c r="BB19" s="16">
        <f t="shared" si="10"/>
        <v>0.84856808790016258</v>
      </c>
      <c r="BC19" s="25">
        <f t="shared" si="25"/>
        <v>31179895.140144512</v>
      </c>
      <c r="BD19" s="24">
        <f t="shared" si="11"/>
        <v>26458264</v>
      </c>
      <c r="BE19" s="3">
        <f t="shared" si="12"/>
        <v>26458264</v>
      </c>
      <c r="BF19" s="3">
        <f t="shared" si="13"/>
        <v>0</v>
      </c>
      <c r="BG19" s="3">
        <f t="shared" si="14"/>
        <v>31179895.140144512</v>
      </c>
      <c r="BH19" s="3">
        <f t="shared" si="15"/>
        <v>31179895.140144512</v>
      </c>
      <c r="BI19" s="25">
        <f t="shared" si="26"/>
        <v>0</v>
      </c>
      <c r="BJ19" s="3">
        <f>[2]Foglalkoztatottak!AD29</f>
        <v>3747800</v>
      </c>
      <c r="BK19" s="3">
        <f>[2]Foglalkoztatottak!AE29</f>
        <v>417800</v>
      </c>
      <c r="BL19" s="77">
        <f>[2]Foglalkoztatottak!AF29</f>
        <v>299205.38888888806</v>
      </c>
      <c r="BM19" s="3">
        <f>[2]Foglalkoztatottak!AG29</f>
        <v>81826.315476190299</v>
      </c>
      <c r="BN19" s="3">
        <f>[2]Foglalkoztatottak!AH29</f>
        <v>282000</v>
      </c>
      <c r="BO19" s="3">
        <f>[2]Foglalkoztatottak!AI29</f>
        <v>805700</v>
      </c>
      <c r="BP19" s="3">
        <f>[2]Foglalkoztatottak!AJ29</f>
        <v>197368.29563492164</v>
      </c>
      <c r="BQ19" s="3">
        <f>[2]Foglalkoztatottak!AK29</f>
        <v>2706000</v>
      </c>
      <c r="BR19" s="3">
        <f t="shared" si="27"/>
        <v>8537700</v>
      </c>
      <c r="BS19" s="44">
        <f t="shared" si="16"/>
        <v>14.036345322589252</v>
      </c>
      <c r="BT19" s="33">
        <f t="shared" si="17"/>
        <v>15.793583432378025</v>
      </c>
      <c r="BU19" s="124">
        <f>'[3]Nettó eszközállomány'!B26</f>
        <v>112232</v>
      </c>
      <c r="BV19" s="80">
        <f>'[3]Nettó eszközállomány'!C26</f>
        <v>108917</v>
      </c>
      <c r="BW19" s="125">
        <f t="shared" si="32"/>
        <v>1.0304360200886913</v>
      </c>
      <c r="BX19" s="125">
        <f t="shared" si="18"/>
        <v>0.88049549883112066</v>
      </c>
      <c r="BY19" s="125"/>
      <c r="BZ19" s="123">
        <f t="shared" si="19"/>
        <v>127464.59254929835</v>
      </c>
      <c r="CA19" s="24"/>
      <c r="CB19" s="3"/>
      <c r="CC19" s="16"/>
      <c r="CD19" s="16"/>
      <c r="CE19" s="16"/>
      <c r="CF19" s="25">
        <f t="shared" si="28"/>
        <v>19413.151409847938</v>
      </c>
      <c r="CG19" s="24"/>
      <c r="CH19" s="3"/>
      <c r="CI19" s="16"/>
      <c r="CJ19" s="59">
        <f t="shared" si="53"/>
        <v>1.1523023062450828</v>
      </c>
      <c r="CK19" s="59"/>
      <c r="CL19" s="25">
        <f t="shared" si="34"/>
        <v>146877.74395914629</v>
      </c>
      <c r="CM19" s="24"/>
      <c r="CN19" s="3"/>
      <c r="CO19" s="16"/>
      <c r="CP19" s="16"/>
      <c r="CQ19" s="16"/>
      <c r="CR19" s="3">
        <f t="shared" si="54"/>
        <v>209989.32426428248</v>
      </c>
      <c r="CS19" s="24"/>
      <c r="CT19" s="3"/>
      <c r="CU19" s="16"/>
      <c r="CV19" s="16"/>
      <c r="CW19" s="16"/>
      <c r="CX19" s="25">
        <f t="shared" si="29"/>
        <v>356867.0682234288</v>
      </c>
    </row>
    <row r="20" spans="2:102" x14ac:dyDescent="0.35">
      <c r="B20">
        <f>'[1]Összesítő H'!B28</f>
        <v>2010</v>
      </c>
      <c r="C20" s="24">
        <f>'[1]Összesítő H'!C28</f>
        <v>55427896</v>
      </c>
      <c r="D20" s="3">
        <f>'[1]Összesítő H'!D28</f>
        <v>53852470</v>
      </c>
      <c r="E20" s="16">
        <f t="shared" si="42"/>
        <v>1.0292544798780818</v>
      </c>
      <c r="F20" s="16">
        <f t="shared" si="2"/>
        <v>0.91473675788949693</v>
      </c>
      <c r="G20" s="116" t="s">
        <v>1071</v>
      </c>
      <c r="H20" s="6">
        <f t="shared" si="36"/>
        <v>60594368.294420138</v>
      </c>
      <c r="I20" s="131">
        <f t="shared" si="20"/>
        <v>60594.368294420135</v>
      </c>
      <c r="J20" s="24">
        <f>'[1]Összesítő H'!H28</f>
        <v>23278960</v>
      </c>
      <c r="K20" s="3">
        <f>'[1]Összesítő H'!I28</f>
        <v>22788952</v>
      </c>
      <c r="L20" s="16">
        <f t="shared" si="43"/>
        <v>1.0215019979856905</v>
      </c>
      <c r="M20" s="16">
        <f t="shared" si="3"/>
        <v>0.88472753092862644</v>
      </c>
      <c r="N20" s="25">
        <f t="shared" si="37"/>
        <v>26312010.405696284</v>
      </c>
      <c r="O20" s="24">
        <f>'[1]Összesítő H'!M28</f>
        <v>4152310</v>
      </c>
      <c r="P20" s="3">
        <f>'[1]Összesítő H'!N28</f>
        <v>3966221</v>
      </c>
      <c r="Q20" s="16">
        <f t="shared" si="44"/>
        <v>1.046918464704816</v>
      </c>
      <c r="R20" s="16">
        <f t="shared" si="4"/>
        <v>0.79392204499589791</v>
      </c>
      <c r="S20" s="25">
        <f t="shared" si="21"/>
        <v>5217778.8728605285</v>
      </c>
      <c r="T20" s="24">
        <f>'[1]Összesítő H'!P28</f>
        <v>27431270</v>
      </c>
      <c r="U20" s="3">
        <f>'[1]Összesítő H'!Q28</f>
        <v>26755173</v>
      </c>
      <c r="V20" s="16">
        <f t="shared" si="45"/>
        <v>1.0252697674576801</v>
      </c>
      <c r="W20" s="16">
        <f t="shared" si="5"/>
        <v>0.87001120615340788</v>
      </c>
      <c r="X20" s="25">
        <f t="shared" si="38"/>
        <v>31529789.278556813</v>
      </c>
      <c r="Y20" s="24">
        <f t="shared" si="22"/>
        <v>0</v>
      </c>
      <c r="Z20" s="3">
        <f t="shared" si="22"/>
        <v>0</v>
      </c>
      <c r="AA20" s="25">
        <f t="shared" si="23"/>
        <v>0</v>
      </c>
      <c r="AB20" s="24">
        <f>'[1]Összesítő H'!AX28</f>
        <v>20368705</v>
      </c>
      <c r="AC20" s="3">
        <f>'[1]Összesítő H'!AY28</f>
        <v>19845127</v>
      </c>
      <c r="AD20" s="16">
        <f t="shared" si="46"/>
        <v>1.0263832022843693</v>
      </c>
      <c r="AE20" s="16">
        <f t="shared" si="6"/>
        <v>0.89690626258496209</v>
      </c>
      <c r="AF20" s="116" t="s">
        <v>115</v>
      </c>
      <c r="AG20" s="25">
        <f t="shared" si="39"/>
        <v>22709959.613054339</v>
      </c>
      <c r="AH20" s="24">
        <f>'[1]Összesítő H'!BG28</f>
        <v>5618263</v>
      </c>
      <c r="AI20" s="3">
        <f>'[1]Összesítő H'!BH28</f>
        <v>5499438</v>
      </c>
      <c r="AJ20" s="16">
        <f t="shared" si="47"/>
        <v>1.0216067532718798</v>
      </c>
      <c r="AK20" s="16">
        <f t="shared" si="7"/>
        <v>0.75804102773182458</v>
      </c>
      <c r="AL20" s="116" t="s">
        <v>143</v>
      </c>
      <c r="AM20" s="25">
        <f t="shared" si="40"/>
        <v>7411555.3043490369</v>
      </c>
      <c r="AN20" s="24">
        <f>'[1]Összesítő H'!BI28</f>
        <v>22292418</v>
      </c>
      <c r="AO20" s="3">
        <f>'[1]Összesítő H'!BJ28</f>
        <v>21873452</v>
      </c>
      <c r="AP20" s="16">
        <f t="shared" si="48"/>
        <v>1.019154086881211</v>
      </c>
      <c r="AQ20" s="16">
        <f t="shared" si="8"/>
        <v>0.92989303818575519</v>
      </c>
      <c r="AR20" s="116" t="s">
        <v>116</v>
      </c>
      <c r="AS20" s="25">
        <f t="shared" si="41"/>
        <v>23973099.146427713</v>
      </c>
      <c r="AT20" s="24">
        <f>'[1]Összesítő H'!BK28</f>
        <v>20848116</v>
      </c>
      <c r="AU20" s="3">
        <f>'[1]Összesítő H'!BL28</f>
        <v>20462844</v>
      </c>
      <c r="AV20" s="16">
        <f t="shared" si="49"/>
        <v>1.0188278814029956</v>
      </c>
      <c r="AW20" s="16">
        <f t="shared" si="9"/>
        <v>0.92505512832174397</v>
      </c>
      <c r="AX20" s="25">
        <f t="shared" si="24"/>
        <v>22564824.785274278</v>
      </c>
      <c r="AY20" s="24">
        <f t="shared" si="30"/>
        <v>27431270</v>
      </c>
      <c r="AZ20" s="3">
        <f t="shared" si="31"/>
        <v>26755173</v>
      </c>
      <c r="BA20" s="16">
        <f t="shared" si="50"/>
        <v>1.0252697674576801</v>
      </c>
      <c r="BB20" s="16">
        <f t="shared" si="10"/>
        <v>0.87001120615340788</v>
      </c>
      <c r="BC20" s="25">
        <f t="shared" si="25"/>
        <v>31529789.278556813</v>
      </c>
      <c r="BD20" s="24">
        <f t="shared" si="11"/>
        <v>27431270</v>
      </c>
      <c r="BE20" s="3">
        <f t="shared" si="12"/>
        <v>27431270</v>
      </c>
      <c r="BF20" s="3">
        <f t="shared" si="13"/>
        <v>0</v>
      </c>
      <c r="BG20" s="3">
        <f t="shared" si="14"/>
        <v>31529789.278556813</v>
      </c>
      <c r="BH20" s="3">
        <f t="shared" si="15"/>
        <v>31529789.278556813</v>
      </c>
      <c r="BI20" s="25">
        <f t="shared" si="26"/>
        <v>0</v>
      </c>
      <c r="BJ20" s="3">
        <f>[2]Foglalkoztatottak!AD30</f>
        <v>3734300</v>
      </c>
      <c r="BK20" s="3">
        <f>[2]Foglalkoztatottak!AE30</f>
        <v>469400</v>
      </c>
      <c r="BL20" s="77">
        <f>[2]Foglalkoztatottak!AF30</f>
        <v>280834.42222221941</v>
      </c>
      <c r="BM20" s="3">
        <f>[2]Foglalkoztatottak!AG30</f>
        <v>85507.778571428731</v>
      </c>
      <c r="BN20" s="3">
        <f>[2]Foglalkoztatottak!AH30</f>
        <v>275900</v>
      </c>
      <c r="BO20" s="3">
        <f>[2]Foglalkoztatottak!AI30</f>
        <v>805400</v>
      </c>
      <c r="BP20" s="3">
        <f>[2]Foglalkoztatottak!AJ30</f>
        <v>191757.79920635186</v>
      </c>
      <c r="BQ20" s="3">
        <f>[2]Foglalkoztatottak!AK30</f>
        <v>2689900</v>
      </c>
      <c r="BR20" s="3">
        <f t="shared" si="27"/>
        <v>8533000</v>
      </c>
      <c r="BS20" s="44">
        <f t="shared" si="16"/>
        <v>14.842914602469003</v>
      </c>
      <c r="BT20" s="33">
        <f t="shared" si="17"/>
        <v>16.226432877492471</v>
      </c>
      <c r="BU20" s="124">
        <f>'[3]Nettó eszközállomány'!B27</f>
        <v>114583</v>
      </c>
      <c r="BV20" s="80">
        <f>'[3]Nettó eszközállomány'!C27</f>
        <v>112643</v>
      </c>
      <c r="BW20" s="125">
        <f t="shared" si="32"/>
        <v>1.0172225526663885</v>
      </c>
      <c r="BX20" s="125">
        <f t="shared" si="18"/>
        <v>0.89565987893225762</v>
      </c>
      <c r="BY20" s="126" t="s">
        <v>1039</v>
      </c>
      <c r="BZ20" s="123">
        <f t="shared" si="19"/>
        <v>127931.37517402002</v>
      </c>
      <c r="CA20" s="24"/>
      <c r="CB20" s="3"/>
      <c r="CC20" s="16"/>
      <c r="CD20" s="59"/>
      <c r="CE20" s="116" t="s">
        <v>1055</v>
      </c>
      <c r="CF20" s="25">
        <f t="shared" si="28"/>
        <v>20781.075072473046</v>
      </c>
      <c r="CG20" s="24"/>
      <c r="CH20" s="3"/>
      <c r="CI20" s="16"/>
      <c r="CJ20" s="59">
        <f>CL20/BZ20</f>
        <v>1.1624392377882702</v>
      </c>
      <c r="CK20" s="59"/>
      <c r="CL20" s="81">
        <f>$BX$25/$BX$24*[4]Hungary!$F$32/10^3</f>
        <v>148712.45024649307</v>
      </c>
      <c r="CM20" s="24"/>
      <c r="CN20" s="3"/>
      <c r="CO20" s="16"/>
      <c r="CP20" s="16"/>
      <c r="CQ20" s="116" t="s">
        <v>1023</v>
      </c>
      <c r="CR20" s="81">
        <f>$BX$25/$BX$24*[4]Hungary!$F$33/10^3</f>
        <v>209568.6663253021</v>
      </c>
      <c r="CS20" s="24"/>
      <c r="CT20" s="3"/>
      <c r="CU20" s="16"/>
      <c r="CV20" s="16"/>
      <c r="CW20" s="16"/>
      <c r="CX20" s="25">
        <f t="shared" si="29"/>
        <v>358281.1165717952</v>
      </c>
    </row>
    <row r="21" spans="2:102" x14ac:dyDescent="0.35">
      <c r="B21">
        <f>'[1]Összesítő H'!B29</f>
        <v>2011</v>
      </c>
      <c r="C21" s="24">
        <f>'[1]Összesítő H'!C29</f>
        <v>58717003</v>
      </c>
      <c r="D21" s="3">
        <f>'[1]Összesítő H'!D29</f>
        <v>56642829</v>
      </c>
      <c r="E21" s="16">
        <f t="shared" si="42"/>
        <v>1.0366184746881197</v>
      </c>
      <c r="F21" s="16">
        <f t="shared" si="2"/>
        <v>0.94823302270456622</v>
      </c>
      <c r="G21" s="116" t="s">
        <v>1072</v>
      </c>
      <c r="H21" s="6">
        <f t="shared" si="36"/>
        <v>61922546.034651242</v>
      </c>
      <c r="I21" s="131">
        <f t="shared" si="20"/>
        <v>61922.546034651241</v>
      </c>
      <c r="J21" s="24">
        <f>'[1]Összesítő H'!H29</f>
        <v>24248459</v>
      </c>
      <c r="K21" s="3">
        <f>'[1]Összesítő H'!I29</f>
        <v>23752902</v>
      </c>
      <c r="L21" s="16">
        <f t="shared" si="43"/>
        <v>1.0208630086546899</v>
      </c>
      <c r="M21" s="16">
        <f t="shared" si="3"/>
        <v>0.90318560906343281</v>
      </c>
      <c r="N21" s="25">
        <f t="shared" si="37"/>
        <v>26847703.015490558</v>
      </c>
      <c r="O21" s="24">
        <f>'[1]Összesítő H'!M29</f>
        <v>4253042</v>
      </c>
      <c r="P21" s="3">
        <f>'[1]Összesítő H'!N29</f>
        <v>4209741</v>
      </c>
      <c r="Q21" s="16">
        <f t="shared" si="44"/>
        <v>1.0102859059500335</v>
      </c>
      <c r="R21" s="16">
        <f t="shared" si="4"/>
        <v>0.80208825248238402</v>
      </c>
      <c r="S21" s="25">
        <f t="shared" si="21"/>
        <v>5292851.9592339657</v>
      </c>
      <c r="T21" s="24">
        <f>'[1]Összesítő H'!P29</f>
        <v>28501501</v>
      </c>
      <c r="U21" s="3">
        <f>'[1]Összesítő H'!Q29</f>
        <v>27962643</v>
      </c>
      <c r="V21" s="16">
        <f t="shared" si="45"/>
        <v>1.0192706390451003</v>
      </c>
      <c r="W21" s="16">
        <f t="shared" si="5"/>
        <v>0.88677687807238259</v>
      </c>
      <c r="X21" s="25">
        <f t="shared" si="38"/>
        <v>32140554.974724524</v>
      </c>
      <c r="Y21" s="24">
        <f t="shared" si="22"/>
        <v>0</v>
      </c>
      <c r="Z21" s="3">
        <f t="shared" si="22"/>
        <v>0</v>
      </c>
      <c r="AA21" s="25">
        <f t="shared" si="23"/>
        <v>0</v>
      </c>
      <c r="AB21" s="24">
        <f>'[1]Összesítő H'!AX29</f>
        <v>20982566</v>
      </c>
      <c r="AC21" s="3">
        <f>'[1]Összesítő H'!AY29</f>
        <v>20513914</v>
      </c>
      <c r="AD21" s="16">
        <f t="shared" si="46"/>
        <v>1.0228455671599286</v>
      </c>
      <c r="AE21" s="16">
        <f t="shared" si="6"/>
        <v>0.9173965948430074</v>
      </c>
      <c r="AF21" s="116" t="s">
        <v>322</v>
      </c>
      <c r="AG21" s="25">
        <f t="shared" si="39"/>
        <v>22871859.474898871</v>
      </c>
      <c r="AH21" s="24">
        <f>'[1]Összesítő H'!BG29</f>
        <v>5783412</v>
      </c>
      <c r="AI21" s="3">
        <f>'[1]Összesítő H'!BH29</f>
        <v>5467961</v>
      </c>
      <c r="AJ21" s="16">
        <f t="shared" si="47"/>
        <v>1.0576907918692178</v>
      </c>
      <c r="AK21" s="16">
        <f t="shared" si="7"/>
        <v>0.80177301489102926</v>
      </c>
      <c r="AL21" s="116" t="s">
        <v>323</v>
      </c>
      <c r="AM21" s="25">
        <f t="shared" si="40"/>
        <v>7213278.437396694</v>
      </c>
      <c r="AN21" s="24">
        <f>'[1]Összesítő H'!BI29</f>
        <v>24565027</v>
      </c>
      <c r="AO21" s="3">
        <f>'[1]Összesítő H'!BJ29</f>
        <v>23720857</v>
      </c>
      <c r="AP21" s="16">
        <f t="shared" si="48"/>
        <v>1.035587668691734</v>
      </c>
      <c r="AQ21" s="16">
        <f t="shared" si="8"/>
        <v>0.96298576354745979</v>
      </c>
      <c r="AR21" s="116" t="s">
        <v>324</v>
      </c>
      <c r="AS21" s="25">
        <f t="shared" si="41"/>
        <v>25509231.735168155</v>
      </c>
      <c r="AT21" s="24">
        <f>'[1]Összesítő H'!BK29</f>
        <v>22829504</v>
      </c>
      <c r="AU21" s="3">
        <f>'[1]Összesítő H'!BL29</f>
        <v>21740089</v>
      </c>
      <c r="AV21" s="16">
        <f t="shared" si="49"/>
        <v>1.0501108804108392</v>
      </c>
      <c r="AW21" s="16">
        <f t="shared" si="9"/>
        <v>0.9714104552305084</v>
      </c>
      <c r="AX21" s="25">
        <f t="shared" si="24"/>
        <v>23453814.6727392</v>
      </c>
      <c r="AY21" s="24">
        <f t="shared" si="30"/>
        <v>28501501</v>
      </c>
      <c r="AZ21" s="3">
        <f t="shared" si="31"/>
        <v>27962643</v>
      </c>
      <c r="BA21" s="16">
        <f t="shared" si="50"/>
        <v>1.0192706390451003</v>
      </c>
      <c r="BB21" s="16">
        <f t="shared" si="10"/>
        <v>0.88677687807238259</v>
      </c>
      <c r="BC21" s="25">
        <f t="shared" si="25"/>
        <v>32140554.974724524</v>
      </c>
      <c r="BD21" s="24">
        <f t="shared" si="11"/>
        <v>28501501</v>
      </c>
      <c r="BE21" s="3">
        <f t="shared" si="12"/>
        <v>28501501</v>
      </c>
      <c r="BF21" s="3">
        <f t="shared" si="13"/>
        <v>0</v>
      </c>
      <c r="BG21" s="3">
        <f t="shared" si="14"/>
        <v>32140554.974724524</v>
      </c>
      <c r="BH21" s="3">
        <f t="shared" si="15"/>
        <v>32140554.974724524</v>
      </c>
      <c r="BI21" s="25">
        <f t="shared" si="26"/>
        <v>0</v>
      </c>
      <c r="BJ21" s="3">
        <f>[2]Foglalkoztatottak!AD31</f>
        <v>3759000</v>
      </c>
      <c r="BK21" s="3">
        <f>[2]Foglalkoztatottak!AE31</f>
        <v>466000</v>
      </c>
      <c r="BL21" s="77">
        <f>[2]Foglalkoztatottak!AF31</f>
        <v>262463.45555555075</v>
      </c>
      <c r="BM21" s="3">
        <f>[2]Foglalkoztatottak!AG31</f>
        <v>83822</v>
      </c>
      <c r="BN21" s="3">
        <f>[2]Foglalkoztatottak!AH31</f>
        <v>280700</v>
      </c>
      <c r="BO21" s="3">
        <f>[2]Foglalkoztatottak!AI31</f>
        <v>783800</v>
      </c>
      <c r="BP21" s="3">
        <f>[2]Foglalkoztatottak!AJ31</f>
        <v>211614.54444444925</v>
      </c>
      <c r="BQ21" s="3">
        <f>[2]Foglalkoztatottak!AK31</f>
        <v>2662700</v>
      </c>
      <c r="BR21" s="3">
        <f t="shared" si="27"/>
        <v>8510100</v>
      </c>
      <c r="BS21" s="44">
        <f t="shared" si="16"/>
        <v>15.620378558127161</v>
      </c>
      <c r="BT21" s="33">
        <f t="shared" si="17"/>
        <v>16.473143398417463</v>
      </c>
      <c r="BU21" s="124">
        <f>'[3]Nettó eszközállomány'!B28</f>
        <v>117646</v>
      </c>
      <c r="BV21" s="80">
        <f>'[3]Nettó eszközállomány'!C28</f>
        <v>114854</v>
      </c>
      <c r="BW21" s="125">
        <f t="shared" si="32"/>
        <v>1.0243091228864472</v>
      </c>
      <c r="BX21" s="125">
        <f t="shared" si="18"/>
        <v>0.9174325849936823</v>
      </c>
      <c r="BY21" s="126" t="s">
        <v>1040</v>
      </c>
      <c r="BZ21" s="123">
        <f t="shared" si="19"/>
        <v>128233.94538663584</v>
      </c>
      <c r="CA21" s="24"/>
      <c r="CB21" s="3"/>
      <c r="CC21" s="16"/>
      <c r="CD21" s="16"/>
      <c r="CE21" s="116" t="s">
        <v>1056</v>
      </c>
      <c r="CF21" s="25">
        <f t="shared" si="28"/>
        <v>21595.239620971843</v>
      </c>
      <c r="CG21" s="24"/>
      <c r="CH21" s="3"/>
      <c r="CI21" s="16"/>
      <c r="CJ21" s="59">
        <f>CJ20+($CJ$24-$CJ$20)/($B$24-$B$20)</f>
        <v>1.1684050159718664</v>
      </c>
      <c r="CK21" s="59"/>
      <c r="CL21" s="25">
        <f t="shared" si="34"/>
        <v>149829.18500760768</v>
      </c>
      <c r="CM21" s="24"/>
      <c r="CN21" s="3"/>
      <c r="CO21" s="16"/>
      <c r="CP21" s="16"/>
      <c r="CQ21" s="116" t="s">
        <v>1024</v>
      </c>
      <c r="CR21" s="3">
        <f>CR20+($CR$24-$CR$20)/($B$24-$B$20)</f>
        <v>217493.45419208438</v>
      </c>
      <c r="CS21" s="24"/>
      <c r="CT21" s="3"/>
      <c r="CU21" s="16"/>
      <c r="CV21" s="16"/>
      <c r="CW21" s="16"/>
      <c r="CX21" s="25">
        <f t="shared" si="29"/>
        <v>367322.63919969206</v>
      </c>
    </row>
    <row r="22" spans="2:102" x14ac:dyDescent="0.35">
      <c r="B22">
        <f>'[1]Összesítő H'!B30</f>
        <v>2012</v>
      </c>
      <c r="C22" s="24">
        <f>'[1]Összesítő H'!C30</f>
        <v>58297696</v>
      </c>
      <c r="D22" s="3">
        <f>'[1]Összesítő H'!D30</f>
        <v>56660243</v>
      </c>
      <c r="E22" s="16">
        <f t="shared" si="42"/>
        <v>1.0288995054257004</v>
      </c>
      <c r="F22" s="16">
        <f t="shared" si="2"/>
        <v>0.97563648808904513</v>
      </c>
      <c r="G22" s="116" t="s">
        <v>1073</v>
      </c>
      <c r="H22" s="6">
        <f t="shared" si="36"/>
        <v>59753501.136664376</v>
      </c>
      <c r="I22" s="131">
        <f t="shared" si="20"/>
        <v>59753.501136664374</v>
      </c>
      <c r="J22" s="24">
        <f>'[1]Összesítő H'!H30</f>
        <v>24333154</v>
      </c>
      <c r="K22" s="3">
        <f>'[1]Összesítő H'!I30</f>
        <v>23911737</v>
      </c>
      <c r="L22" s="16">
        <f t="shared" si="43"/>
        <v>1.0176238555986126</v>
      </c>
      <c r="M22" s="16">
        <f t="shared" si="3"/>
        <v>0.91910322181631166</v>
      </c>
      <c r="N22" s="25">
        <f t="shared" si="37"/>
        <v>26474887.066453051</v>
      </c>
      <c r="O22" s="24">
        <f>'[1]Összesítő H'!M30</f>
        <v>4587216</v>
      </c>
      <c r="P22" s="3">
        <f>'[1]Összesítő H'!N30</f>
        <v>4196266</v>
      </c>
      <c r="Q22" s="16">
        <f t="shared" si="44"/>
        <v>1.0931661624882694</v>
      </c>
      <c r="R22" s="16">
        <f t="shared" si="4"/>
        <v>0.8768157369430899</v>
      </c>
      <c r="S22" s="25">
        <f t="shared" si="21"/>
        <v>5221928.3276281878</v>
      </c>
      <c r="T22" s="24">
        <f>'[1]Összesítő H'!P30</f>
        <v>28920370</v>
      </c>
      <c r="U22" s="3">
        <f>'[1]Összesítő H'!Q30</f>
        <v>28108003</v>
      </c>
      <c r="V22" s="16">
        <f t="shared" si="45"/>
        <v>1.0289016263446393</v>
      </c>
      <c r="W22" s="16">
        <f t="shared" si="5"/>
        <v>0.91240617205349639</v>
      </c>
      <c r="X22" s="25">
        <f t="shared" si="38"/>
        <v>31696815.394081239</v>
      </c>
      <c r="Y22" s="24">
        <f t="shared" si="22"/>
        <v>0</v>
      </c>
      <c r="Z22" s="3">
        <f t="shared" si="22"/>
        <v>0</v>
      </c>
      <c r="AA22" s="25">
        <f t="shared" si="23"/>
        <v>0</v>
      </c>
      <c r="AB22" s="24">
        <f>'[1]Összesítő H'!AX30</f>
        <v>21388662</v>
      </c>
      <c r="AC22" s="3">
        <f>'[1]Összesítő H'!AY30</f>
        <v>20562366</v>
      </c>
      <c r="AD22" s="16">
        <f t="shared" si="46"/>
        <v>1.0401848697761726</v>
      </c>
      <c r="AE22" s="16">
        <f t="shared" si="6"/>
        <v>0.95426205753987781</v>
      </c>
      <c r="AF22" s="116" t="s">
        <v>325</v>
      </c>
      <c r="AG22" s="25">
        <f t="shared" si="39"/>
        <v>22413824.201646186</v>
      </c>
      <c r="AH22" s="24">
        <f>'[1]Összesítő H'!BG30</f>
        <v>5577544</v>
      </c>
      <c r="AI22" s="3">
        <f>'[1]Összesítő H'!BH30</f>
        <v>5435875</v>
      </c>
      <c r="AJ22" s="16">
        <f t="shared" si="47"/>
        <v>1.0260618575666292</v>
      </c>
      <c r="AK22" s="16">
        <f t="shared" si="7"/>
        <v>0.82266870900588607</v>
      </c>
      <c r="AL22" s="116" t="s">
        <v>326</v>
      </c>
      <c r="AM22" s="25">
        <f t="shared" si="40"/>
        <v>6779817.852486345</v>
      </c>
      <c r="AN22" s="24">
        <f>'[1]Összesítő H'!BI30</f>
        <v>24902133</v>
      </c>
      <c r="AO22" s="3">
        <f>'[1]Összesítő H'!BJ30</f>
        <v>24146493</v>
      </c>
      <c r="AP22" s="16">
        <f t="shared" si="48"/>
        <v>1.0312939854247156</v>
      </c>
      <c r="AQ22" s="16">
        <f t="shared" si="8"/>
        <v>0.99312142599612263</v>
      </c>
      <c r="AR22" s="116" t="s">
        <v>327</v>
      </c>
      <c r="AS22" s="25">
        <f t="shared" si="41"/>
        <v>25074610.56438553</v>
      </c>
      <c r="AT22" s="24">
        <f>'[1]Összesítő H'!BK30</f>
        <v>22947969</v>
      </c>
      <c r="AU22" s="3">
        <f>'[1]Összesítő H'!BL30</f>
        <v>22036731</v>
      </c>
      <c r="AV22" s="16">
        <f t="shared" si="49"/>
        <v>1.0413508700541836</v>
      </c>
      <c r="AW22" s="16">
        <f t="shared" si="9"/>
        <v>1.0115791227340205</v>
      </c>
      <c r="AX22" s="25">
        <f t="shared" si="24"/>
        <v>22571437.224436823</v>
      </c>
      <c r="AY22" s="24">
        <f t="shared" si="30"/>
        <v>28920370</v>
      </c>
      <c r="AZ22" s="3">
        <f t="shared" si="31"/>
        <v>28108003</v>
      </c>
      <c r="BA22" s="16">
        <f t="shared" si="50"/>
        <v>1.0289016263446393</v>
      </c>
      <c r="BB22" s="16">
        <f t="shared" si="10"/>
        <v>0.91240617205349639</v>
      </c>
      <c r="BC22" s="25">
        <f t="shared" si="25"/>
        <v>31696815.394081239</v>
      </c>
      <c r="BD22" s="24">
        <f t="shared" si="11"/>
        <v>28920370</v>
      </c>
      <c r="BE22" s="3">
        <f t="shared" si="12"/>
        <v>28920370</v>
      </c>
      <c r="BF22" s="3">
        <f t="shared" si="13"/>
        <v>0</v>
      </c>
      <c r="BG22" s="3">
        <f t="shared" si="14"/>
        <v>31696815.394081239</v>
      </c>
      <c r="BH22" s="3">
        <f t="shared" si="15"/>
        <v>31696815.394081239</v>
      </c>
      <c r="BI22" s="25">
        <f t="shared" si="26"/>
        <v>0</v>
      </c>
      <c r="BJ22" s="3">
        <f>[2]Foglalkoztatottak!AD32</f>
        <v>3827200</v>
      </c>
      <c r="BK22" s="3">
        <f>[2]Foglalkoztatottak!AE32</f>
        <v>473100</v>
      </c>
      <c r="BL22" s="77">
        <f>[2]Foglalkoztatottak!AF32</f>
        <v>244092.4888888821</v>
      </c>
      <c r="BM22" s="3">
        <f>[2]Foglalkoztatottak!AG32</f>
        <v>90337.600000000006</v>
      </c>
      <c r="BN22" s="3">
        <f>[2]Foglalkoztatottak!AH32</f>
        <v>263200</v>
      </c>
      <c r="BO22" s="3">
        <f>[2]Foglalkoztatottak!AI32</f>
        <v>769600</v>
      </c>
      <c r="BP22" s="3">
        <f>[2]Foglalkoztatottak!AJ32</f>
        <v>149869.91111111789</v>
      </c>
      <c r="BQ22" s="3">
        <f>[2]Foglalkoztatottak!AK32</f>
        <v>2667300</v>
      </c>
      <c r="BR22" s="3">
        <f t="shared" si="27"/>
        <v>8484700</v>
      </c>
      <c r="BS22" s="44">
        <f t="shared" si="16"/>
        <v>15.232466555183947</v>
      </c>
      <c r="BT22" s="33">
        <f t="shared" si="17"/>
        <v>15.612850422414397</v>
      </c>
      <c r="BU22" s="124">
        <f>'[3]Nettó eszközállomány'!B29</f>
        <v>119406</v>
      </c>
      <c r="BV22" s="80">
        <f>'[3]Nettó eszközállomány'!C29</f>
        <v>116438</v>
      </c>
      <c r="BW22" s="125">
        <f t="shared" si="32"/>
        <v>1.0254899603222316</v>
      </c>
      <c r="BX22" s="125">
        <f t="shared" si="18"/>
        <v>0.94081790518349362</v>
      </c>
      <c r="BY22" s="126" t="s">
        <v>1041</v>
      </c>
      <c r="BZ22" s="123">
        <f t="shared" si="19"/>
        <v>126917.22738494385</v>
      </c>
      <c r="CA22" s="24"/>
      <c r="CB22" s="3"/>
      <c r="CC22" s="16"/>
      <c r="CD22" s="16"/>
      <c r="CE22" s="116" t="s">
        <v>1057</v>
      </c>
      <c r="CF22" s="25">
        <f t="shared" si="28"/>
        <v>22130.657731122119</v>
      </c>
      <c r="CG22" s="24"/>
      <c r="CH22" s="3"/>
      <c r="CI22" s="16"/>
      <c r="CJ22" s="59">
        <f t="shared" ref="CJ22:CJ23" si="55">CJ21+($CJ$24-$CJ$20)/($B$24-$B$20)</f>
        <v>1.1743707941554629</v>
      </c>
      <c r="CK22" s="59"/>
      <c r="CL22" s="25">
        <f t="shared" si="34"/>
        <v>149047.88511606597</v>
      </c>
      <c r="CM22" s="24"/>
      <c r="CN22" s="3"/>
      <c r="CO22" s="16"/>
      <c r="CP22" s="16"/>
      <c r="CQ22" s="116" t="s">
        <v>1025</v>
      </c>
      <c r="CR22" s="3">
        <f t="shared" ref="CR22:CR23" si="56">CR21+($CR$24-$CR$20)/($B$24-$B$20)</f>
        <v>225418.24205886666</v>
      </c>
      <c r="CS22" s="24"/>
      <c r="CT22" s="3"/>
      <c r="CU22" s="16"/>
      <c r="CV22" s="16"/>
      <c r="CW22" s="16"/>
      <c r="CX22" s="25">
        <f t="shared" si="29"/>
        <v>374466.12717493263</v>
      </c>
    </row>
    <row r="23" spans="2:102" x14ac:dyDescent="0.35">
      <c r="B23">
        <f>'[1]Összesítő H'!B31</f>
        <v>2013</v>
      </c>
      <c r="C23" s="24">
        <f>'[1]Összesítő H'!C31</f>
        <v>60994346</v>
      </c>
      <c r="D23" s="3">
        <f>'[1]Összesítő H'!D31</f>
        <v>60632435</v>
      </c>
      <c r="E23" s="16">
        <f t="shared" si="42"/>
        <v>1.0059689339542441</v>
      </c>
      <c r="F23" s="16">
        <f t="shared" si="2"/>
        <v>0.98145999784979931</v>
      </c>
      <c r="G23" s="116" t="s">
        <v>1074</v>
      </c>
      <c r="H23" s="6">
        <f t="shared" si="36"/>
        <v>62146543.041619159</v>
      </c>
      <c r="I23" s="131">
        <f t="shared" si="20"/>
        <v>62146.543041619159</v>
      </c>
      <c r="J23" s="24">
        <f>'[1]Összesítő H'!H31</f>
        <v>25571146</v>
      </c>
      <c r="K23" s="3">
        <f>'[1]Összesítő H'!I31</f>
        <v>24941450</v>
      </c>
      <c r="L23" s="16">
        <f t="shared" si="43"/>
        <v>1.0252469683999927</v>
      </c>
      <c r="M23" s="16">
        <f t="shared" si="3"/>
        <v>0.94230779181383961</v>
      </c>
      <c r="N23" s="25">
        <f t="shared" si="37"/>
        <v>27136723.501753431</v>
      </c>
      <c r="O23" s="24">
        <f>'[1]Összesítő H'!M31</f>
        <v>4719774</v>
      </c>
      <c r="P23" s="3">
        <f>'[1]Összesítő H'!N31</f>
        <v>4517056</v>
      </c>
      <c r="Q23" s="16">
        <f t="shared" si="44"/>
        <v>1.0448783455418751</v>
      </c>
      <c r="R23" s="16">
        <f t="shared" si="4"/>
        <v>0.91616577656217568</v>
      </c>
      <c r="S23" s="25">
        <f t="shared" si="21"/>
        <v>5149890.6206604429</v>
      </c>
      <c r="T23" s="24">
        <f>'[1]Összesítő H'!P31</f>
        <v>30290920</v>
      </c>
      <c r="U23" s="3">
        <f>'[1]Összesítő H'!Q31</f>
        <v>29458506</v>
      </c>
      <c r="V23" s="16">
        <f t="shared" si="45"/>
        <v>1.028257169593054</v>
      </c>
      <c r="W23" s="16">
        <f t="shared" si="5"/>
        <v>0.93818818799496129</v>
      </c>
      <c r="X23" s="25">
        <f t="shared" si="38"/>
        <v>32286614.122413874</v>
      </c>
      <c r="Y23" s="24">
        <f t="shared" si="22"/>
        <v>0</v>
      </c>
      <c r="Z23" s="3">
        <f t="shared" si="22"/>
        <v>0</v>
      </c>
      <c r="AA23" s="25">
        <f t="shared" si="23"/>
        <v>0</v>
      </c>
      <c r="AB23" s="24">
        <f>'[1]Összesítő H'!AX31</f>
        <v>21835219</v>
      </c>
      <c r="AC23" s="3">
        <f>'[1]Összesítő H'!AY31</f>
        <v>21545055</v>
      </c>
      <c r="AD23" s="16">
        <f t="shared" si="46"/>
        <v>1.0134677771767118</v>
      </c>
      <c r="AE23" s="16">
        <f t="shared" si="6"/>
        <v>0.96711384629901542</v>
      </c>
      <c r="AF23" s="116" t="s">
        <v>328</v>
      </c>
      <c r="AG23" s="25">
        <f t="shared" si="39"/>
        <v>22577713.144693118</v>
      </c>
      <c r="AH23" s="24">
        <f>'[1]Összesítő H'!BG31</f>
        <v>6337912</v>
      </c>
      <c r="AI23" s="3">
        <f>'[1]Összesítő H'!BH31</f>
        <v>5918747</v>
      </c>
      <c r="AJ23" s="16">
        <f t="shared" si="47"/>
        <v>1.0708198880607669</v>
      </c>
      <c r="AK23" s="16">
        <f t="shared" si="7"/>
        <v>0.88093001488877853</v>
      </c>
      <c r="AL23" s="116" t="s">
        <v>329</v>
      </c>
      <c r="AM23" s="25">
        <f t="shared" si="40"/>
        <v>7194569.2539494075</v>
      </c>
      <c r="AN23" s="24">
        <f>'[1]Összesítő H'!BI31</f>
        <v>25923810</v>
      </c>
      <c r="AO23" s="3">
        <f>'[1]Összesítő H'!BJ31</f>
        <v>25923866</v>
      </c>
      <c r="AP23" s="16">
        <f t="shared" si="48"/>
        <v>0.9999978398283651</v>
      </c>
      <c r="AQ23" s="16">
        <f t="shared" si="8"/>
        <v>0.99311928068338817</v>
      </c>
      <c r="AR23" s="116" t="s">
        <v>330</v>
      </c>
      <c r="AS23" s="25">
        <f t="shared" si="41"/>
        <v>26103420.308345269</v>
      </c>
      <c r="AT23" s="24">
        <f>'[1]Összesítő H'!BK31</f>
        <v>23806021</v>
      </c>
      <c r="AU23" s="3">
        <f>'[1]Összesítő H'!BL31</f>
        <v>23929162</v>
      </c>
      <c r="AV23" s="16">
        <f t="shared" si="49"/>
        <v>0.99485393596315663</v>
      </c>
      <c r="AW23" s="16">
        <f t="shared" si="9"/>
        <v>1.0063734717900974</v>
      </c>
      <c r="AX23" s="25">
        <f t="shared" si="24"/>
        <v>23589088.584573925</v>
      </c>
      <c r="AY23" s="24">
        <f t="shared" si="30"/>
        <v>30290920</v>
      </c>
      <c r="AZ23" s="3">
        <f t="shared" si="31"/>
        <v>29458506</v>
      </c>
      <c r="BA23" s="16">
        <f t="shared" si="50"/>
        <v>1.028257169593054</v>
      </c>
      <c r="BB23" s="16">
        <f t="shared" si="10"/>
        <v>0.93818818799496129</v>
      </c>
      <c r="BC23" s="25">
        <f t="shared" si="25"/>
        <v>32286614.122413874</v>
      </c>
      <c r="BD23" s="24">
        <f t="shared" si="11"/>
        <v>30290920</v>
      </c>
      <c r="BE23" s="3">
        <f t="shared" si="12"/>
        <v>30290920</v>
      </c>
      <c r="BF23" s="3">
        <f t="shared" si="13"/>
        <v>0</v>
      </c>
      <c r="BG23" s="3">
        <f t="shared" si="14"/>
        <v>32286614.122413874</v>
      </c>
      <c r="BH23" s="3">
        <f t="shared" si="15"/>
        <v>32286614.122413874</v>
      </c>
      <c r="BI23" s="25">
        <f t="shared" si="26"/>
        <v>0</v>
      </c>
      <c r="BJ23" s="3">
        <f>[2]Foglalkoztatottak!AD33</f>
        <v>3892700</v>
      </c>
      <c r="BK23" s="3">
        <f>[2]Foglalkoztatottak!AE33</f>
        <v>440900</v>
      </c>
      <c r="BL23" s="77">
        <f>[2]Foglalkoztatottak!AF33</f>
        <v>225721.5222222209</v>
      </c>
      <c r="BM23" s="3">
        <f>[2]Foglalkoztatottak!AG33</f>
        <v>96853.200000000012</v>
      </c>
      <c r="BN23" s="3">
        <f>[2]Foglalkoztatottak!AH33</f>
        <v>255400</v>
      </c>
      <c r="BO23" s="3">
        <f>[2]Foglalkoztatottak!AI33</f>
        <v>737300</v>
      </c>
      <c r="BP23" s="3">
        <f>[2]Foglalkoztatottak!AJ33</f>
        <v>143825.27777777909</v>
      </c>
      <c r="BQ23" s="3">
        <f>[2]Foglalkoztatottak!AK33</f>
        <v>2672100</v>
      </c>
      <c r="BR23" s="3">
        <f t="shared" si="27"/>
        <v>8464800</v>
      </c>
      <c r="BS23" s="44">
        <f t="shared" si="16"/>
        <v>15.668904873224241</v>
      </c>
      <c r="BT23" s="33">
        <f t="shared" si="17"/>
        <v>15.964894043111249</v>
      </c>
      <c r="BU23" s="124">
        <f>'[3]Nettó eszközállomány'!B30</f>
        <v>123514</v>
      </c>
      <c r="BV23" s="80">
        <f>'[3]Nettó eszközállomány'!C30</f>
        <v>121188</v>
      </c>
      <c r="BW23" s="125">
        <f t="shared" si="32"/>
        <v>1.0191933194705747</v>
      </c>
      <c r="BX23" s="125">
        <f t="shared" si="18"/>
        <v>0.95887532380131724</v>
      </c>
      <c r="BY23" s="126" t="s">
        <v>1042</v>
      </c>
      <c r="BZ23" s="123">
        <f t="shared" si="19"/>
        <v>128811.32398980432</v>
      </c>
      <c r="CA23" s="24"/>
      <c r="CB23" s="3"/>
      <c r="CC23" s="16"/>
      <c r="CD23" s="16"/>
      <c r="CE23" s="116" t="s">
        <v>1058</v>
      </c>
      <c r="CF23" s="25">
        <f t="shared" si="28"/>
        <v>23229.392646777342</v>
      </c>
      <c r="CG23" s="24"/>
      <c r="CH23" s="3"/>
      <c r="CI23" s="16"/>
      <c r="CJ23" s="59">
        <f t="shared" si="55"/>
        <v>1.1803365723390593</v>
      </c>
      <c r="CK23" s="59"/>
      <c r="CL23" s="25">
        <f t="shared" si="34"/>
        <v>152040.71663658167</v>
      </c>
      <c r="CM23" s="24"/>
      <c r="CN23" s="3"/>
      <c r="CO23" s="16"/>
      <c r="CP23" s="16"/>
      <c r="CQ23" s="116" t="s">
        <v>1026</v>
      </c>
      <c r="CR23" s="3">
        <f t="shared" si="56"/>
        <v>233343.02992564894</v>
      </c>
      <c r="CS23" s="24"/>
      <c r="CT23" s="3"/>
      <c r="CU23" s="16"/>
      <c r="CV23" s="16"/>
      <c r="CW23" s="16"/>
      <c r="CX23" s="25">
        <f t="shared" si="29"/>
        <v>385383.74656223063</v>
      </c>
    </row>
    <row r="24" spans="2:102" x14ac:dyDescent="0.35">
      <c r="B24">
        <f>'[1]Összesítő H'!B32</f>
        <v>2014</v>
      </c>
      <c r="C24" s="24">
        <f>'[1]Összesítő H'!C32</f>
        <v>65547230</v>
      </c>
      <c r="D24" s="3">
        <f>'[1]Összesítő H'!D32</f>
        <v>64839451</v>
      </c>
      <c r="E24" s="16">
        <f t="shared" si="42"/>
        <v>1.010915869722586</v>
      </c>
      <c r="F24" s="16">
        <f>F25/E25</f>
        <v>0.99217348732425725</v>
      </c>
      <c r="G24" s="116" t="s">
        <v>1075</v>
      </c>
      <c r="H24" s="6">
        <f t="shared" si="36"/>
        <v>66064282.947905637</v>
      </c>
      <c r="I24" s="131">
        <f t="shared" si="20"/>
        <v>66064.282947905638</v>
      </c>
      <c r="J24" s="24">
        <f>'[1]Összesítő H'!H32</f>
        <v>27656184</v>
      </c>
      <c r="K24" s="3">
        <f>'[1]Összesítő H'!I32</f>
        <v>26713185</v>
      </c>
      <c r="L24" s="16">
        <f t="shared" si="43"/>
        <v>1.035300882317103</v>
      </c>
      <c r="M24" s="16">
        <f>M25/L25</f>
        <v>0.97557208827914921</v>
      </c>
      <c r="N24" s="25">
        <f t="shared" si="37"/>
        <v>28348683.128874518</v>
      </c>
      <c r="O24" s="24">
        <f>'[1]Összesítő H'!M32</f>
        <v>5085994</v>
      </c>
      <c r="P24" s="3">
        <f>'[1]Összesítő H'!N32</f>
        <v>4858723</v>
      </c>
      <c r="Q24" s="16">
        <f t="shared" si="44"/>
        <v>1.0467758709438673</v>
      </c>
      <c r="R24" s="16">
        <f>R25/Q25</f>
        <v>0.95902022868983594</v>
      </c>
      <c r="S24" s="25">
        <f t="shared" si="21"/>
        <v>5303315.9092646837</v>
      </c>
      <c r="T24" s="24">
        <f>'[1]Összesítő H'!P32</f>
        <v>32742178</v>
      </c>
      <c r="U24" s="3">
        <f>'[1]Összesítő H'!Q32</f>
        <v>31571908</v>
      </c>
      <c r="V24" s="16">
        <f t="shared" si="45"/>
        <v>1.0370668126867721</v>
      </c>
      <c r="W24" s="16">
        <f>W25/V25</f>
        <v>0.97296383382431273</v>
      </c>
      <c r="X24" s="25">
        <f t="shared" si="38"/>
        <v>33651999.038139202</v>
      </c>
      <c r="Y24" s="24">
        <f t="shared" si="22"/>
        <v>0</v>
      </c>
      <c r="Z24" s="3">
        <f t="shared" si="22"/>
        <v>0</v>
      </c>
      <c r="AA24" s="25">
        <f t="shared" si="23"/>
        <v>0</v>
      </c>
      <c r="AB24" s="24">
        <f>'[1]Összesítő H'!AX32</f>
        <v>23004026</v>
      </c>
      <c r="AC24" s="3">
        <f>'[1]Összesítő H'!AY32</f>
        <v>22525717</v>
      </c>
      <c r="AD24" s="16">
        <f t="shared" si="46"/>
        <v>1.0212339078929209</v>
      </c>
      <c r="AE24" s="16">
        <f>AE25/AD25</f>
        <v>0.98764945263329718</v>
      </c>
      <c r="AF24" s="116" t="s">
        <v>331</v>
      </c>
      <c r="AG24" s="25">
        <f t="shared" si="39"/>
        <v>23291691.134608597</v>
      </c>
      <c r="AH24" s="24">
        <f>'[1]Összesítő H'!BG32</f>
        <v>7663325</v>
      </c>
      <c r="AI24" s="3">
        <f>'[1]Összesítő H'!BH32</f>
        <v>7153213</v>
      </c>
      <c r="AJ24" s="16">
        <f t="shared" si="47"/>
        <v>1.0713122900156895</v>
      </c>
      <c r="AK24" s="16">
        <f>AK25/AJ25</f>
        <v>0.94375115159405276</v>
      </c>
      <c r="AL24" s="116" t="s">
        <v>332</v>
      </c>
      <c r="AM24" s="25">
        <f t="shared" si="40"/>
        <v>8120069.5618290696</v>
      </c>
      <c r="AN24" s="24">
        <f>'[1]Összesítő H'!BI32</f>
        <v>28580598</v>
      </c>
      <c r="AO24" s="3">
        <f>'[1]Összesítő H'!BJ32</f>
        <v>28308226</v>
      </c>
      <c r="AP24" s="16">
        <f t="shared" si="48"/>
        <v>1.0096216555569395</v>
      </c>
      <c r="AQ24" s="16">
        <f>AQ25/AP25</f>
        <v>1.0026747323290792</v>
      </c>
      <c r="AR24" s="116" t="s">
        <v>333</v>
      </c>
      <c r="AS24" s="25">
        <f t="shared" si="41"/>
        <v>28504356.476213474</v>
      </c>
      <c r="AT24" s="24">
        <f>'[1]Összesítő H'!BK32</f>
        <v>26505771</v>
      </c>
      <c r="AU24" s="3">
        <f>'[1]Összesítő H'!BL32</f>
        <v>26415248</v>
      </c>
      <c r="AV24" s="16">
        <f t="shared" si="49"/>
        <v>1.003426922207961</v>
      </c>
      <c r="AW24" s="16">
        <f>AW25/AV25</f>
        <v>1.0098222353900776</v>
      </c>
      <c r="AX24" s="25">
        <f t="shared" si="24"/>
        <v>26264118.13451194</v>
      </c>
      <c r="AY24" s="24">
        <f t="shared" si="30"/>
        <v>32742178</v>
      </c>
      <c r="AZ24" s="3">
        <f t="shared" si="31"/>
        <v>31571908</v>
      </c>
      <c r="BA24" s="16">
        <f t="shared" si="50"/>
        <v>1.0370668126867721</v>
      </c>
      <c r="BB24" s="16">
        <f>BB25/BA25</f>
        <v>0.97296383382431273</v>
      </c>
      <c r="BC24" s="25">
        <f t="shared" si="25"/>
        <v>33651999.038139202</v>
      </c>
      <c r="BD24" s="24">
        <f t="shared" si="11"/>
        <v>32742178</v>
      </c>
      <c r="BE24" s="3">
        <f t="shared" si="12"/>
        <v>32742178</v>
      </c>
      <c r="BF24" s="3">
        <f t="shared" si="13"/>
        <v>0</v>
      </c>
      <c r="BG24" s="3">
        <f t="shared" si="14"/>
        <v>33651999.038139202</v>
      </c>
      <c r="BH24" s="3">
        <f t="shared" si="15"/>
        <v>33651999.038139202</v>
      </c>
      <c r="BI24" s="25">
        <f t="shared" si="26"/>
        <v>0</v>
      </c>
      <c r="BJ24" s="3">
        <f>[2]Foglalkoztatottak!AD34</f>
        <v>4100700</v>
      </c>
      <c r="BK24" s="3">
        <f>[2]Foglalkoztatottak!AE34</f>
        <v>343300</v>
      </c>
      <c r="BL24" s="3">
        <f>[2]Foglalkoztatottak!AF34</f>
        <v>182546.58333333337</v>
      </c>
      <c r="BM24" s="3">
        <f>[2]Foglalkoztatottak!AG34</f>
        <v>103368.80000000002</v>
      </c>
      <c r="BN24" s="3">
        <f>[2]Foglalkoztatottak!AH34</f>
        <v>237800</v>
      </c>
      <c r="BO24" s="3">
        <f>[2]Foglalkoztatottak!AI34</f>
        <v>701200</v>
      </c>
      <c r="BP24" s="3">
        <f>[2]Foglalkoztatottak!AJ34</f>
        <v>126584.61666666661</v>
      </c>
      <c r="BQ24" s="3">
        <f>[2]Foglalkoztatottak!AK34</f>
        <v>2641300</v>
      </c>
      <c r="BR24" s="3">
        <f t="shared" si="27"/>
        <v>8436800</v>
      </c>
      <c r="BS24" s="44">
        <f t="shared" si="16"/>
        <v>15.984400224351941</v>
      </c>
      <c r="BT24" s="33">
        <f t="shared" si="17"/>
        <v>16.11048917206956</v>
      </c>
      <c r="BU24" s="124">
        <f>'[3]Nettó eszközállomány'!B31</f>
        <v>127048</v>
      </c>
      <c r="BV24" s="80">
        <f>'[3]Nettó eszközállomány'!C31</f>
        <v>124665</v>
      </c>
      <c r="BW24" s="125">
        <f t="shared" si="32"/>
        <v>1.0191152288132195</v>
      </c>
      <c r="BX24" s="125">
        <f>BX25/BW25</f>
        <v>0.97720444501912929</v>
      </c>
      <c r="BY24" s="126" t="s">
        <v>1043</v>
      </c>
      <c r="BZ24" s="123">
        <f t="shared" si="19"/>
        <v>130011.68859553536</v>
      </c>
      <c r="CA24" s="24"/>
      <c r="CB24" s="3"/>
      <c r="CC24" s="16"/>
      <c r="CD24" s="59"/>
      <c r="CE24" s="116" t="s">
        <v>1059</v>
      </c>
      <c r="CF24" s="25">
        <f t="shared" si="28"/>
        <v>24221.483180767755</v>
      </c>
      <c r="CG24" s="24"/>
      <c r="CH24" s="3"/>
      <c r="CI24" s="16"/>
      <c r="CJ24" s="59">
        <f>CL24/BZ24</f>
        <v>1.1863023505226555</v>
      </c>
      <c r="CK24" s="59"/>
      <c r="CL24" s="81">
        <f>$BX$25/$BX$24*[4]Hungary!$G$32/10^3</f>
        <v>154233.17177630312</v>
      </c>
      <c r="CM24" s="24"/>
      <c r="CN24" s="3"/>
      <c r="CO24" s="16"/>
      <c r="CP24" s="16"/>
      <c r="CQ24" s="116" t="s">
        <v>1027</v>
      </c>
      <c r="CR24" s="81">
        <f>$BX$25/$BX$24*[4]Hungary!$G$33/10^3</f>
        <v>241267.81779243119</v>
      </c>
      <c r="CS24" s="24"/>
      <c r="CT24" s="3"/>
      <c r="CU24" s="16"/>
      <c r="CV24" s="16"/>
      <c r="CW24" s="16"/>
      <c r="CX24" s="25">
        <f t="shared" si="29"/>
        <v>395500.98956873431</v>
      </c>
    </row>
    <row r="25" spans="2:102" x14ac:dyDescent="0.35">
      <c r="B25">
        <f>'[1]Összesítő H'!B33</f>
        <v>2015</v>
      </c>
      <c r="C25" s="24">
        <f>'[1]Összesítő H'!C33</f>
        <v>69186242</v>
      </c>
      <c r="D25" s="3">
        <f>'[1]Összesítő H'!D33</f>
        <v>68644755</v>
      </c>
      <c r="E25" s="16">
        <f t="shared" si="42"/>
        <v>1.0078882501656536</v>
      </c>
      <c r="F25" s="16">
        <v>1</v>
      </c>
      <c r="G25" s="116" t="s">
        <v>1076</v>
      </c>
      <c r="H25" s="6">
        <f t="shared" si="36"/>
        <v>69186242</v>
      </c>
      <c r="I25" s="131">
        <f t="shared" si="20"/>
        <v>69186.241999999998</v>
      </c>
      <c r="J25" s="24">
        <f>'[1]Összesítő H'!H33</f>
        <v>29431865</v>
      </c>
      <c r="K25" s="3">
        <f>'[1]Összesítő H'!I33</f>
        <v>28712906</v>
      </c>
      <c r="L25" s="16">
        <f t="shared" si="43"/>
        <v>1.0250395762797397</v>
      </c>
      <c r="M25" s="16">
        <v>1</v>
      </c>
      <c r="N25" s="25">
        <f t="shared" si="37"/>
        <v>29431865</v>
      </c>
      <c r="O25" s="24">
        <f>'[1]Összesítő H'!M33</f>
        <v>5505448</v>
      </c>
      <c r="P25" s="3">
        <f>'[1]Összesítő H'!N33</f>
        <v>5279836</v>
      </c>
      <c r="Q25" s="16">
        <f t="shared" si="44"/>
        <v>1.0427308727013491</v>
      </c>
      <c r="R25" s="16">
        <v>1</v>
      </c>
      <c r="S25" s="25">
        <f t="shared" si="21"/>
        <v>5505448</v>
      </c>
      <c r="T25" s="24">
        <f>'[1]Összesítő H'!P33</f>
        <v>34937313</v>
      </c>
      <c r="U25" s="3">
        <f>'[1]Összesítő H'!Q33</f>
        <v>33992742</v>
      </c>
      <c r="V25" s="16">
        <f t="shared" si="45"/>
        <v>1.0277874317994118</v>
      </c>
      <c r="W25" s="16">
        <v>1</v>
      </c>
      <c r="X25" s="25">
        <f t="shared" si="38"/>
        <v>34937313</v>
      </c>
      <c r="Y25" s="24">
        <f t="shared" si="22"/>
        <v>0</v>
      </c>
      <c r="Z25" s="3">
        <f t="shared" si="22"/>
        <v>0</v>
      </c>
      <c r="AA25" s="25">
        <f t="shared" si="23"/>
        <v>0</v>
      </c>
      <c r="AB25" s="24">
        <f>'[1]Összesítő H'!AX33</f>
        <v>24050513</v>
      </c>
      <c r="AC25" s="3">
        <f>'[1]Összesítő H'!AY33</f>
        <v>23753476</v>
      </c>
      <c r="AD25" s="16">
        <f t="shared" si="46"/>
        <v>1.0125049908484973</v>
      </c>
      <c r="AE25" s="16">
        <v>1</v>
      </c>
      <c r="AF25" s="116" t="s">
        <v>334</v>
      </c>
      <c r="AG25" s="25">
        <f t="shared" si="39"/>
        <v>24050513</v>
      </c>
      <c r="AH25" s="24">
        <f>'[1]Összesítő H'!BG33</f>
        <v>8108326</v>
      </c>
      <c r="AI25" s="3">
        <f>'[1]Összesítő H'!BH33</f>
        <v>7652242</v>
      </c>
      <c r="AJ25" s="16">
        <f t="shared" si="47"/>
        <v>1.0596013560470252</v>
      </c>
      <c r="AK25" s="16">
        <v>1</v>
      </c>
      <c r="AL25" s="116" t="s">
        <v>335</v>
      </c>
      <c r="AM25" s="25">
        <f t="shared" si="40"/>
        <v>8108326</v>
      </c>
      <c r="AN25" s="24">
        <f>'[1]Összesítő H'!BI33</f>
        <v>30603810</v>
      </c>
      <c r="AO25" s="3">
        <f>'[1]Összesítő H'!BJ33</f>
        <v>30685667</v>
      </c>
      <c r="AP25" s="16">
        <f t="shared" si="48"/>
        <v>0.99733240277944746</v>
      </c>
      <c r="AQ25" s="16">
        <v>1</v>
      </c>
      <c r="AR25" s="116" t="s">
        <v>336</v>
      </c>
      <c r="AS25" s="25">
        <f t="shared" si="41"/>
        <v>30603810</v>
      </c>
      <c r="AT25" s="24">
        <f>'[1]Összesítő H'!BK33</f>
        <v>27825336</v>
      </c>
      <c r="AU25" s="3">
        <f>'[1]Összesítő H'!BL33</f>
        <v>28098643</v>
      </c>
      <c r="AV25" s="16">
        <f t="shared" si="49"/>
        <v>0.9902733025221182</v>
      </c>
      <c r="AW25" s="16">
        <v>1</v>
      </c>
      <c r="AX25" s="25">
        <f t="shared" si="24"/>
        <v>27825336</v>
      </c>
      <c r="AY25" s="24">
        <f t="shared" si="30"/>
        <v>34937313</v>
      </c>
      <c r="AZ25" s="3">
        <f t="shared" si="31"/>
        <v>33992742</v>
      </c>
      <c r="BA25" s="16">
        <f t="shared" si="50"/>
        <v>1.0277874317994118</v>
      </c>
      <c r="BB25" s="16">
        <v>1</v>
      </c>
      <c r="BC25" s="25">
        <f t="shared" si="25"/>
        <v>34937313</v>
      </c>
      <c r="BD25" s="24">
        <f t="shared" si="11"/>
        <v>34937313</v>
      </c>
      <c r="BE25" s="3">
        <f t="shared" si="12"/>
        <v>34937313</v>
      </c>
      <c r="BF25" s="3">
        <f t="shared" si="13"/>
        <v>0</v>
      </c>
      <c r="BG25" s="3">
        <f t="shared" si="14"/>
        <v>34937313</v>
      </c>
      <c r="BH25" s="3">
        <f t="shared" si="15"/>
        <v>34937313</v>
      </c>
      <c r="BI25" s="25">
        <f t="shared" si="26"/>
        <v>0</v>
      </c>
      <c r="BJ25" s="3">
        <f>[2]Foglalkoztatottak!AD35</f>
        <v>4210500</v>
      </c>
      <c r="BK25" s="3">
        <f>[2]Foglalkoztatottak!AE35</f>
        <v>307800</v>
      </c>
      <c r="BL25" s="3">
        <f>[2]Foglalkoztatottak!AF35</f>
        <v>191906.08333333331</v>
      </c>
      <c r="BM25" s="3">
        <f>[2]Foglalkoztatottak!AG35</f>
        <v>111513.30000000002</v>
      </c>
      <c r="BN25" s="3">
        <f>[2]Foglalkoztatottak!AH35</f>
        <v>240000</v>
      </c>
      <c r="BO25" s="3">
        <f>[2]Foglalkoztatottak!AI35</f>
        <v>688800</v>
      </c>
      <c r="BP25" s="3">
        <f>[2]Foglalkoztatottak!AJ35</f>
        <v>64680.616666666669</v>
      </c>
      <c r="BQ25" s="3">
        <f>[2]Foglalkoztatottak!AK35</f>
        <v>2598100</v>
      </c>
      <c r="BR25" s="3">
        <f t="shared" si="27"/>
        <v>8413300</v>
      </c>
      <c r="BS25" s="44">
        <f t="shared" si="16"/>
        <v>16.431835173969837</v>
      </c>
      <c r="BT25" s="33">
        <f t="shared" si="17"/>
        <v>16.431835173969837</v>
      </c>
      <c r="BU25" s="124">
        <f>'[3]Nettó eszközállomány'!B32</f>
        <v>131473</v>
      </c>
      <c r="BV25" s="80">
        <f>'[3]Nettó eszközállomány'!C32</f>
        <v>128476</v>
      </c>
      <c r="BW25" s="125">
        <f t="shared" si="32"/>
        <v>1.0233273140508734</v>
      </c>
      <c r="BX25" s="125">
        <v>1</v>
      </c>
      <c r="BY25" s="126" t="s">
        <v>1044</v>
      </c>
      <c r="BZ25" s="123">
        <f t="shared" si="19"/>
        <v>131473</v>
      </c>
      <c r="CA25" s="24"/>
      <c r="CB25" s="3"/>
      <c r="CC25" s="16"/>
      <c r="CD25" s="16"/>
      <c r="CE25" s="116" t="s">
        <v>1060</v>
      </c>
      <c r="CF25" s="25">
        <f t="shared" si="28"/>
        <v>26683.199013958976</v>
      </c>
      <c r="CG25" s="24"/>
      <c r="CH25" s="3"/>
      <c r="CI25" s="16"/>
      <c r="CJ25" s="59" cm="1">
        <f t="array" ref="CJ25:CJ35">TREND(CJ5:CJ24,B5:B24,B25:B35)</f>
        <v>1.2029557324618665</v>
      </c>
      <c r="CK25" s="59"/>
      <c r="CL25" s="25">
        <f t="shared" si="34"/>
        <v>158156.19901395898</v>
      </c>
      <c r="CM25" s="24"/>
      <c r="CN25" s="3"/>
      <c r="CO25" s="16"/>
      <c r="CP25" s="16"/>
      <c r="CQ25" s="116" t="s">
        <v>1028</v>
      </c>
      <c r="CR25" s="25" cm="1">
        <f t="array" ref="CR25:CR35">TREND(CR5:CR24,B5:B24,B25:B35)</f>
        <v>241146.46534507535</v>
      </c>
      <c r="CS25" s="24"/>
      <c r="CT25" s="3"/>
      <c r="CU25" s="16"/>
      <c r="CV25" s="16"/>
      <c r="CW25" s="16"/>
      <c r="CX25" s="25">
        <f t="shared" si="29"/>
        <v>399302.66435903433</v>
      </c>
    </row>
    <row r="26" spans="2:102" x14ac:dyDescent="0.35">
      <c r="B26">
        <f>'[1]Összesítő H'!B34</f>
        <v>2016</v>
      </c>
      <c r="C26" s="24">
        <f>'[1]Összesítő H'!C34</f>
        <v>71529387</v>
      </c>
      <c r="D26" s="3">
        <f>'[1]Összesítő H'!D34</f>
        <v>70863607</v>
      </c>
      <c r="E26" s="16">
        <f t="shared" si="42"/>
        <v>1.0093952316031556</v>
      </c>
      <c r="F26" s="16">
        <f>F25*E26</f>
        <v>1.0093952316031556</v>
      </c>
      <c r="G26" s="116" t="s">
        <v>1077</v>
      </c>
      <c r="H26" s="6">
        <f t="shared" si="36"/>
        <v>70863607</v>
      </c>
      <c r="I26" s="131">
        <f t="shared" si="20"/>
        <v>70863.607000000004</v>
      </c>
      <c r="J26" s="24">
        <f>'[1]Összesítő H'!H34</f>
        <v>30675148</v>
      </c>
      <c r="K26" s="3">
        <f>'[1]Összesítő H'!I34</f>
        <v>30086797</v>
      </c>
      <c r="L26" s="16">
        <f t="shared" si="43"/>
        <v>1.0195551224678385</v>
      </c>
      <c r="M26" s="16">
        <f>M25*L26</f>
        <v>1.0195551224678385</v>
      </c>
      <c r="N26" s="25">
        <f t="shared" si="37"/>
        <v>30086797.000000004</v>
      </c>
      <c r="O26" s="24">
        <f>'[1]Összesítő H'!M34</f>
        <v>5492305</v>
      </c>
      <c r="P26" s="3">
        <f>'[1]Összesítő H'!N34</f>
        <v>5598173</v>
      </c>
      <c r="Q26" s="16">
        <f t="shared" si="44"/>
        <v>0.9810888302308628</v>
      </c>
      <c r="R26" s="16">
        <f>R25*Q26</f>
        <v>0.9810888302308628</v>
      </c>
      <c r="S26" s="25">
        <f t="shared" si="21"/>
        <v>5598172.9999999963</v>
      </c>
      <c r="T26" s="24">
        <f>'[1]Összesítő H'!P34</f>
        <v>36167453</v>
      </c>
      <c r="U26" s="3">
        <f>'[1]Összesítő H'!Q34</f>
        <v>35684970</v>
      </c>
      <c r="V26" s="16">
        <f t="shared" si="45"/>
        <v>1.0135206222675821</v>
      </c>
      <c r="W26" s="16">
        <f>W25*V26</f>
        <v>1.0135206222675821</v>
      </c>
      <c r="X26" s="25">
        <f t="shared" si="38"/>
        <v>35684970</v>
      </c>
      <c r="Y26" s="24">
        <f t="shared" si="22"/>
        <v>0</v>
      </c>
      <c r="Z26" s="3">
        <f t="shared" si="22"/>
        <v>0</v>
      </c>
      <c r="AA26" s="25">
        <f t="shared" si="23"/>
        <v>0</v>
      </c>
      <c r="AB26" s="24">
        <f>'[1]Összesítő H'!AX34</f>
        <v>25374980</v>
      </c>
      <c r="AC26" s="3">
        <f>'[1]Összesítő H'!AY34</f>
        <v>24912677</v>
      </c>
      <c r="AD26" s="16">
        <f t="shared" si="46"/>
        <v>1.0185569378995281</v>
      </c>
      <c r="AE26" s="16">
        <f>AE25*AD26</f>
        <v>1.0185569378995281</v>
      </c>
      <c r="AF26" s="116" t="s">
        <v>368</v>
      </c>
      <c r="AG26" s="25">
        <f t="shared" si="39"/>
        <v>24912677</v>
      </c>
      <c r="AH26" s="24">
        <f>'[1]Összesítő H'!BG34</f>
        <v>7652259</v>
      </c>
      <c r="AI26" s="3">
        <f>'[1]Összesítő H'!BH34</f>
        <v>7773420</v>
      </c>
      <c r="AJ26" s="16">
        <f t="shared" si="47"/>
        <v>0.98441342420710576</v>
      </c>
      <c r="AK26" s="16">
        <f>AK25*AJ26</f>
        <v>0.98441342420710576</v>
      </c>
      <c r="AL26" s="116" t="s">
        <v>369</v>
      </c>
      <c r="AM26" s="25">
        <f t="shared" si="40"/>
        <v>7773420</v>
      </c>
      <c r="AN26" s="24">
        <f>'[1]Összesítő H'!BI34</f>
        <v>31284275</v>
      </c>
      <c r="AO26" s="3">
        <f>'[1]Összesítő H'!BJ34</f>
        <v>31768035</v>
      </c>
      <c r="AP26" s="16">
        <f t="shared" si="48"/>
        <v>0.98477211448551982</v>
      </c>
      <c r="AQ26" s="16">
        <f>AQ25*AP26</f>
        <v>0.98477211448551982</v>
      </c>
      <c r="AR26" s="116" t="s">
        <v>370</v>
      </c>
      <c r="AS26" s="25">
        <f t="shared" si="41"/>
        <v>31768035</v>
      </c>
      <c r="AT26" s="24">
        <f>'[1]Összesítő H'!BK34</f>
        <v>28144061</v>
      </c>
      <c r="AU26" s="3">
        <f>'[1]Összesítő H'!BL34</f>
        <v>28769162</v>
      </c>
      <c r="AV26" s="16">
        <f t="shared" si="49"/>
        <v>0.97827183843589183</v>
      </c>
      <c r="AW26" s="16">
        <f>AW25*AV26</f>
        <v>0.97827183843589183</v>
      </c>
      <c r="AX26" s="25">
        <f t="shared" si="24"/>
        <v>28769162</v>
      </c>
      <c r="AY26" s="24">
        <f t="shared" si="30"/>
        <v>36167453</v>
      </c>
      <c r="AZ26" s="3">
        <f t="shared" si="31"/>
        <v>35684970</v>
      </c>
      <c r="BA26" s="16">
        <f t="shared" si="50"/>
        <v>1.0135206222675821</v>
      </c>
      <c r="BB26" s="16">
        <f>BB25*BA26</f>
        <v>1.0135206222675821</v>
      </c>
      <c r="BC26" s="25">
        <f t="shared" si="25"/>
        <v>35684970</v>
      </c>
      <c r="BD26" s="24">
        <f t="shared" si="11"/>
        <v>36167453</v>
      </c>
      <c r="BE26" s="3">
        <f t="shared" si="12"/>
        <v>36167453</v>
      </c>
      <c r="BF26" s="3">
        <f t="shared" si="13"/>
        <v>0</v>
      </c>
      <c r="BG26" s="3">
        <f t="shared" si="14"/>
        <v>35684970</v>
      </c>
      <c r="BH26" s="3">
        <f t="shared" si="15"/>
        <v>35684970</v>
      </c>
      <c r="BI26" s="25">
        <f t="shared" si="26"/>
        <v>0</v>
      </c>
      <c r="BJ26" s="3">
        <f>[2]Foglalkoztatottak!AD36</f>
        <v>4351600</v>
      </c>
      <c r="BK26" s="3">
        <f>[2]Foglalkoztatottak!AE36</f>
        <v>234600</v>
      </c>
      <c r="BL26" s="3">
        <f>[2]Foglalkoztatottak!AF36</f>
        <v>202467.75</v>
      </c>
      <c r="BM26" s="3">
        <f>[2]Foglalkoztatottak!AG36</f>
        <v>116400</v>
      </c>
      <c r="BN26" s="3">
        <f>[2]Foglalkoztatottak!AH36</f>
        <v>242400</v>
      </c>
      <c r="BO26" s="3">
        <f>[2]Foglalkoztatottak!AI36</f>
        <v>656300</v>
      </c>
      <c r="BP26" s="3">
        <f>[2]Foglalkoztatottak!AJ36</f>
        <v>42332.25</v>
      </c>
      <c r="BQ26" s="3">
        <f>[2]Foglalkoztatottak!AK36</f>
        <v>2545700</v>
      </c>
      <c r="BR26" s="3">
        <f t="shared" si="27"/>
        <v>8391800</v>
      </c>
      <c r="BS26" s="44">
        <f t="shared" si="16"/>
        <v>16.437491267579741</v>
      </c>
      <c r="BT26" s="33">
        <f t="shared" si="17"/>
        <v>16.28449466862763</v>
      </c>
      <c r="BU26" s="124">
        <f>'[3]Nettó eszközállomány'!B33</f>
        <v>135658</v>
      </c>
      <c r="BV26" s="80">
        <f>'[3]Nettó eszközállomány'!C33</f>
        <v>132195</v>
      </c>
      <c r="BW26" s="125">
        <f t="shared" si="32"/>
        <v>1.0261961496274443</v>
      </c>
      <c r="BX26" s="125">
        <f>BX25*BW26</f>
        <v>1.0261961496274443</v>
      </c>
      <c r="BY26" s="126" t="s">
        <v>1045</v>
      </c>
      <c r="BZ26" s="123">
        <f t="shared" si="19"/>
        <v>132195</v>
      </c>
      <c r="CA26" s="24"/>
      <c r="CB26" s="3"/>
      <c r="CC26" s="16"/>
      <c r="CD26" s="16"/>
      <c r="CE26" s="116" t="s">
        <v>1061</v>
      </c>
      <c r="CF26" s="25">
        <f t="shared" si="28"/>
        <v>28049.335483609699</v>
      </c>
      <c r="CG26" s="24"/>
      <c r="CH26" s="3"/>
      <c r="CI26" s="16"/>
      <c r="CJ26" s="59">
        <v>1.2121815158183722</v>
      </c>
      <c r="CK26" s="59"/>
      <c r="CL26" s="25">
        <f t="shared" si="34"/>
        <v>160244.3354836097</v>
      </c>
      <c r="CM26" s="24"/>
      <c r="CN26" s="3"/>
      <c r="CO26" s="16"/>
      <c r="CP26" s="16"/>
      <c r="CQ26" s="116" t="s">
        <v>1029</v>
      </c>
      <c r="CR26" s="25">
        <v>245356.68442869745</v>
      </c>
      <c r="CS26" s="24"/>
      <c r="CT26" s="3"/>
      <c r="CU26" s="16"/>
      <c r="CV26" s="16"/>
      <c r="CW26" s="16"/>
      <c r="CX26" s="25">
        <f t="shared" si="29"/>
        <v>405601.01991230715</v>
      </c>
    </row>
    <row r="27" spans="2:102" x14ac:dyDescent="0.35">
      <c r="B27">
        <f>'[1]Összesítő H'!B35</f>
        <v>2017</v>
      </c>
      <c r="C27" s="24">
        <f>'[1]Összesítő H'!C35</f>
        <v>77005555</v>
      </c>
      <c r="D27" s="3">
        <f>'[1]Összesítő H'!D35</f>
        <v>74868137</v>
      </c>
      <c r="E27" s="16">
        <f t="shared" si="42"/>
        <v>1.0285491009346206</v>
      </c>
      <c r="F27" s="16">
        <f t="shared" ref="F27:F35" si="57">F26*E27</f>
        <v>1.0382125579531187</v>
      </c>
      <c r="G27" s="116" t="s">
        <v>1078</v>
      </c>
      <c r="H27" s="6">
        <f t="shared" si="36"/>
        <v>74171280.64008376</v>
      </c>
      <c r="I27" s="131">
        <f t="shared" si="20"/>
        <v>74171.280640083758</v>
      </c>
      <c r="J27" s="24">
        <f>'[1]Összesítő H'!H35</f>
        <v>33285449</v>
      </c>
      <c r="K27" s="3">
        <f>'[1]Összesítő H'!I35</f>
        <v>31995936</v>
      </c>
      <c r="L27" s="16">
        <f t="shared" si="43"/>
        <v>1.0403023996547562</v>
      </c>
      <c r="M27" s="16">
        <f t="shared" ref="M27:M35" si="58">M26*L27</f>
        <v>1.0606456404835913</v>
      </c>
      <c r="N27" s="25">
        <f t="shared" si="37"/>
        <v>31382252.214626379</v>
      </c>
      <c r="O27" s="24">
        <f>'[1]Összesítő H'!M35</f>
        <v>5947981</v>
      </c>
      <c r="P27" s="3">
        <f>'[1]Összesítő H'!N35</f>
        <v>5732787</v>
      </c>
      <c r="Q27" s="16">
        <f t="shared" si="44"/>
        <v>1.0375374141756881</v>
      </c>
      <c r="R27" s="16">
        <f t="shared" ref="R27:R30" si="59">R26*Q27</f>
        <v>1.0179163679943801</v>
      </c>
      <c r="S27" s="25">
        <f t="shared" si="21"/>
        <v>5843160.0474234298</v>
      </c>
      <c r="T27" s="24">
        <f>'[1]Összesítő H'!P35</f>
        <v>39233430</v>
      </c>
      <c r="U27" s="3">
        <f>'[1]Összesítő H'!Q35</f>
        <v>37728723</v>
      </c>
      <c r="V27" s="16">
        <f t="shared" si="45"/>
        <v>1.0398822668872201</v>
      </c>
      <c r="W27" s="16">
        <f t="shared" ref="W27:W35" si="60">W26*V27</f>
        <v>1.0539421222205592</v>
      </c>
      <c r="X27" s="25">
        <f t="shared" si="38"/>
        <v>37225412.262049809</v>
      </c>
      <c r="Y27" s="24">
        <f t="shared" si="22"/>
        <v>0</v>
      </c>
      <c r="Z27" s="3">
        <f t="shared" si="22"/>
        <v>0</v>
      </c>
      <c r="AA27" s="25">
        <f t="shared" si="23"/>
        <v>0</v>
      </c>
      <c r="AB27" s="24">
        <f>'[1]Összesítő H'!AX35</f>
        <v>27608900</v>
      </c>
      <c r="AC27" s="3">
        <f>'[1]Összesítő H'!AY35</f>
        <v>26471188</v>
      </c>
      <c r="AD27" s="16">
        <f t="shared" si="46"/>
        <v>1.0429792572966503</v>
      </c>
      <c r="AE27" s="16">
        <f t="shared" ref="AE27:AE35" si="61">AE26*AD27</f>
        <v>1.0623337586048001</v>
      </c>
      <c r="AF27" s="116" t="s">
        <v>402</v>
      </c>
      <c r="AG27" s="25">
        <f t="shared" si="39"/>
        <v>25988913.348908097</v>
      </c>
      <c r="AH27" s="24">
        <f>'[1]Összesítő H'!BG35</f>
        <v>8946865</v>
      </c>
      <c r="AI27" s="3">
        <f>'[1]Összesítő H'!BH35</f>
        <v>8479760</v>
      </c>
      <c r="AJ27" s="16">
        <f t="shared" si="47"/>
        <v>1.0550846957932771</v>
      </c>
      <c r="AK27" s="16">
        <f t="shared" ref="AK27:AK35" si="62">AK26*AJ27</f>
        <v>1.0386395382143725</v>
      </c>
      <c r="AL27" s="116" t="s">
        <v>403</v>
      </c>
      <c r="AM27" s="25">
        <f t="shared" si="40"/>
        <v>8614023.1243087817</v>
      </c>
      <c r="AN27" s="24">
        <f>'[1]Összesítő H'!BI35</f>
        <v>33744700</v>
      </c>
      <c r="AO27" s="3">
        <f>'[1]Összesítő H'!BJ35</f>
        <v>33310071</v>
      </c>
      <c r="AP27" s="16">
        <f t="shared" si="48"/>
        <v>1.0130479757908653</v>
      </c>
      <c r="AQ27" s="16">
        <f t="shared" ref="AQ27:AQ35" si="63">AQ26*AP27</f>
        <v>0.9976213971948461</v>
      </c>
      <c r="AR27" s="116" t="s">
        <v>404</v>
      </c>
      <c r="AS27" s="25">
        <f t="shared" si="41"/>
        <v>33825156.612403035</v>
      </c>
      <c r="AT27" s="24">
        <f>'[1]Összesítő H'!BK35</f>
        <v>31067035</v>
      </c>
      <c r="AU27" s="3">
        <f>'[1]Összesítő H'!BL35</f>
        <v>30532296</v>
      </c>
      <c r="AV27" s="16">
        <f t="shared" si="49"/>
        <v>1.0175138810392772</v>
      </c>
      <c r="AW27" s="16">
        <f t="shared" ref="AW27:AW35" si="64">AW26*AV27</f>
        <v>0.99540517503833303</v>
      </c>
      <c r="AX27" s="25">
        <f t="shared" si="24"/>
        <v>31202680.823570102</v>
      </c>
      <c r="AY27" s="24">
        <f t="shared" si="30"/>
        <v>39233430</v>
      </c>
      <c r="AZ27" s="3">
        <f t="shared" si="31"/>
        <v>37728723</v>
      </c>
      <c r="BA27" s="16">
        <f t="shared" si="50"/>
        <v>1.0398822668872201</v>
      </c>
      <c r="BB27" s="16">
        <f t="shared" ref="BB27:BB35" si="65">BB26*BA27</f>
        <v>1.0539421222205592</v>
      </c>
      <c r="BC27" s="25">
        <f t="shared" si="25"/>
        <v>37225412.262049809</v>
      </c>
      <c r="BD27" s="24">
        <f t="shared" si="11"/>
        <v>39233430</v>
      </c>
      <c r="BE27" s="3">
        <f t="shared" si="12"/>
        <v>39233430</v>
      </c>
      <c r="BF27" s="3">
        <f t="shared" si="13"/>
        <v>0</v>
      </c>
      <c r="BG27" s="3">
        <f t="shared" si="14"/>
        <v>37225412.262049809</v>
      </c>
      <c r="BH27" s="3">
        <f t="shared" si="15"/>
        <v>37225412.262049809</v>
      </c>
      <c r="BI27" s="25">
        <f t="shared" si="26"/>
        <v>0</v>
      </c>
      <c r="BJ27" s="3">
        <f>[2]Foglalkoztatottak!AD37</f>
        <v>4421300</v>
      </c>
      <c r="BK27" s="3">
        <f>[2]Foglalkoztatottak!AE37</f>
        <v>191800</v>
      </c>
      <c r="BL27" s="3">
        <f>[2]Foglalkoztatottak!AF37</f>
        <v>164585.08333333337</v>
      </c>
      <c r="BM27" s="3">
        <f>[2]Foglalkoztatottak!AG37</f>
        <v>109600</v>
      </c>
      <c r="BN27" s="3">
        <f>[2]Foglalkoztatottak!AH37</f>
        <v>233100</v>
      </c>
      <c r="BO27" s="3">
        <f>[2]Foglalkoztatottak!AI37</f>
        <v>636500</v>
      </c>
      <c r="BP27" s="3">
        <f>[2]Foglalkoztatottak!AJ37</f>
        <v>87814.916666666628</v>
      </c>
      <c r="BQ27" s="3">
        <f>[2]Foglalkoztatottak!AK37</f>
        <v>2520800</v>
      </c>
      <c r="BR27" s="3">
        <f t="shared" si="27"/>
        <v>8365500</v>
      </c>
      <c r="BS27" s="44">
        <f t="shared" si="16"/>
        <v>17.416948635016851</v>
      </c>
      <c r="BT27" s="33">
        <f t="shared" si="17"/>
        <v>16.775898636166684</v>
      </c>
      <c r="BU27" s="124">
        <f>'[3]Nettó eszközállomány'!B34</f>
        <v>146887</v>
      </c>
      <c r="BV27" s="80">
        <f>'[3]Nettó eszközállomány'!C34</f>
        <v>137571</v>
      </c>
      <c r="BW27" s="125">
        <f t="shared" si="32"/>
        <v>1.0677177602837808</v>
      </c>
      <c r="BX27" s="125">
        <f t="shared" ref="BX27:BX28" si="66">BX26*BW27</f>
        <v>1.0956878544920545</v>
      </c>
      <c r="BY27" s="126" t="s">
        <v>1046</v>
      </c>
      <c r="BZ27" s="123">
        <f t="shared" si="19"/>
        <v>134059.16602780519</v>
      </c>
      <c r="CA27" s="24"/>
      <c r="CB27" s="3"/>
      <c r="CC27" s="16"/>
      <c r="CD27" s="16"/>
      <c r="CE27" s="116" t="s">
        <v>1062</v>
      </c>
      <c r="CF27" s="25">
        <f t="shared" si="28"/>
        <v>29681.677879852883</v>
      </c>
      <c r="CG27" s="24"/>
      <c r="CH27" s="3"/>
      <c r="CI27" s="16"/>
      <c r="CJ27" s="59">
        <v>1.2214072991748779</v>
      </c>
      <c r="CK27" s="59"/>
      <c r="CL27" s="25">
        <f t="shared" si="34"/>
        <v>163740.84390765807</v>
      </c>
      <c r="CM27" s="24"/>
      <c r="CN27" s="3"/>
      <c r="CO27" s="16"/>
      <c r="CP27" s="16"/>
      <c r="CQ27" s="116" t="s">
        <v>1030</v>
      </c>
      <c r="CR27" s="25">
        <v>249566.90351231955</v>
      </c>
      <c r="CS27" s="24"/>
      <c r="CT27" s="3"/>
      <c r="CU27" s="16"/>
      <c r="CV27" s="16"/>
      <c r="CW27" s="16"/>
      <c r="CX27" s="25">
        <f t="shared" si="29"/>
        <v>413307.74741997762</v>
      </c>
    </row>
    <row r="28" spans="2:102" x14ac:dyDescent="0.35">
      <c r="B28">
        <f>'[1]Összesítő H'!B36</f>
        <v>2018</v>
      </c>
      <c r="C28" s="24">
        <f>'[1]Összesítő H'!C36</f>
        <v>84833997</v>
      </c>
      <c r="D28" s="3">
        <f>'[1]Összesítő H'!D36</f>
        <v>81749814</v>
      </c>
      <c r="E28" s="16">
        <f t="shared" si="42"/>
        <v>1.037727095012106</v>
      </c>
      <c r="F28" s="16">
        <f t="shared" si="57"/>
        <v>1.0773813017697778</v>
      </c>
      <c r="G28" s="116" t="s">
        <v>1079</v>
      </c>
      <c r="H28" s="6">
        <f t="shared" si="36"/>
        <v>78740921.956456885</v>
      </c>
      <c r="I28" s="131">
        <f t="shared" si="20"/>
        <v>78740.921956456878</v>
      </c>
      <c r="J28" s="24">
        <f>'[1]Összesítő H'!H36</f>
        <v>36620653</v>
      </c>
      <c r="K28" s="3">
        <f>'[1]Összesítő H'!I36</f>
        <v>35152420</v>
      </c>
      <c r="L28" s="16">
        <f t="shared" si="43"/>
        <v>1.0417676222575858</v>
      </c>
      <c r="M28" s="16">
        <f t="shared" si="58"/>
        <v>1.1049462869444651</v>
      </c>
      <c r="N28" s="25">
        <f t="shared" si="37"/>
        <v>33142473.469247077</v>
      </c>
      <c r="O28" s="24">
        <f>'[1]Összesítő H'!M36</f>
        <v>6726388</v>
      </c>
      <c r="P28" s="3">
        <f>'[1]Összesítő H'!N36</f>
        <v>6201692</v>
      </c>
      <c r="Q28" s="16">
        <f t="shared" si="44"/>
        <v>1.0846052980380192</v>
      </c>
      <c r="R28" s="16">
        <f t="shared" si="59"/>
        <v>1.1040374856863227</v>
      </c>
      <c r="S28" s="25">
        <f t="shared" si="21"/>
        <v>6095081.5426644795</v>
      </c>
      <c r="T28" s="24">
        <f>'[1]Összesítő H'!P36</f>
        <v>43347041</v>
      </c>
      <c r="U28" s="3">
        <f>'[1]Összesítő H'!Q36</f>
        <v>41354112</v>
      </c>
      <c r="V28" s="16">
        <f t="shared" si="45"/>
        <v>1.0481917977104671</v>
      </c>
      <c r="W28" s="16">
        <f t="shared" si="60"/>
        <v>1.1047334877731527</v>
      </c>
      <c r="X28" s="25">
        <f t="shared" si="38"/>
        <v>39237555.011911556</v>
      </c>
      <c r="Y28" s="24">
        <f t="shared" si="22"/>
        <v>0</v>
      </c>
      <c r="Z28" s="3">
        <f t="shared" si="22"/>
        <v>0</v>
      </c>
      <c r="AA28" s="25">
        <f t="shared" si="23"/>
        <v>0</v>
      </c>
      <c r="AB28" s="24">
        <f>'[1]Összesítő H'!AX36</f>
        <v>29900563</v>
      </c>
      <c r="AC28" s="3">
        <f>'[1]Összesítő H'!AY36</f>
        <v>28748381</v>
      </c>
      <c r="AD28" s="16">
        <f t="shared" si="46"/>
        <v>1.0400781525749223</v>
      </c>
      <c r="AE28" s="16">
        <f t="shared" si="61"/>
        <v>1.1049101330676538</v>
      </c>
      <c r="AF28" s="116" t="s">
        <v>428</v>
      </c>
      <c r="AG28" s="25">
        <f t="shared" si="39"/>
        <v>27061533.879669093</v>
      </c>
      <c r="AH28" s="24">
        <f>'[1]Összesítő H'!BG36</f>
        <v>11537960</v>
      </c>
      <c r="AI28" s="3">
        <f>'[1]Összesítő H'!BH36</f>
        <v>10399266</v>
      </c>
      <c r="AJ28" s="16">
        <f t="shared" si="47"/>
        <v>1.1094975356914614</v>
      </c>
      <c r="AK28" s="16">
        <f t="shared" si="62"/>
        <v>1.1523680081205636</v>
      </c>
      <c r="AL28" s="116" t="s">
        <v>429</v>
      </c>
      <c r="AM28" s="25">
        <f t="shared" si="40"/>
        <v>10012391.804261951</v>
      </c>
      <c r="AN28" s="24">
        <f>'[1]Összesítő H'!BI36</f>
        <v>36364895</v>
      </c>
      <c r="AO28" s="3">
        <f>'[1]Összesítő H'!BJ36</f>
        <v>35444713</v>
      </c>
      <c r="AP28" s="16">
        <f t="shared" si="48"/>
        <v>1.0259610509471468</v>
      </c>
      <c r="AQ28" s="16">
        <f t="shared" si="63"/>
        <v>1.0235206971133852</v>
      </c>
      <c r="AR28" s="116" t="s">
        <v>430</v>
      </c>
      <c r="AS28" s="25">
        <f t="shared" si="41"/>
        <v>35529222.909276947</v>
      </c>
      <c r="AT28" s="24">
        <f>'[1]Összesítő H'!BK36</f>
        <v>34456377</v>
      </c>
      <c r="AU28" s="3">
        <f>'[1]Összesítő H'!BL36</f>
        <v>33238248</v>
      </c>
      <c r="AV28" s="16">
        <f t="shared" si="49"/>
        <v>1.0366484117935457</v>
      </c>
      <c r="AW28" s="16">
        <f t="shared" si="64"/>
        <v>1.0318851937945643</v>
      </c>
      <c r="AX28" s="25">
        <f t="shared" si="24"/>
        <v>33365593.581296429</v>
      </c>
      <c r="AY28" s="24">
        <f t="shared" si="30"/>
        <v>43347041</v>
      </c>
      <c r="AZ28" s="3">
        <f t="shared" si="31"/>
        <v>41354112</v>
      </c>
      <c r="BA28" s="16">
        <f t="shared" si="50"/>
        <v>1.0481917977104671</v>
      </c>
      <c r="BB28" s="16">
        <f t="shared" si="65"/>
        <v>1.1047334877731527</v>
      </c>
      <c r="BC28" s="25">
        <f t="shared" si="25"/>
        <v>39237555.011911556</v>
      </c>
      <c r="BD28" s="24">
        <f t="shared" si="11"/>
        <v>43347041</v>
      </c>
      <c r="BE28" s="3">
        <f t="shared" si="12"/>
        <v>43347041</v>
      </c>
      <c r="BF28" s="3">
        <f t="shared" si="13"/>
        <v>0</v>
      </c>
      <c r="BG28" s="3">
        <f t="shared" si="14"/>
        <v>39237555.011911556</v>
      </c>
      <c r="BH28" s="3">
        <f t="shared" si="15"/>
        <v>39237555.011911556</v>
      </c>
      <c r="BI28" s="25">
        <f t="shared" si="26"/>
        <v>0</v>
      </c>
      <c r="BJ28" s="3">
        <f>[2]Foglalkoztatottak!AD38</f>
        <v>4469500</v>
      </c>
      <c r="BK28" s="3">
        <f>[2]Foglalkoztatottak!AE38</f>
        <v>171900</v>
      </c>
      <c r="BL28" s="3">
        <f>[2]Foglalkoztatottak!AF38</f>
        <v>125908.33333333334</v>
      </c>
      <c r="BM28" s="3">
        <f>[2]Foglalkoztatottak!AG38</f>
        <v>104700</v>
      </c>
      <c r="BN28" s="3">
        <f>[2]Foglalkoztatottak!AH38</f>
        <v>232074</v>
      </c>
      <c r="BO28" s="3">
        <f>[2]Foglalkoztatottak!AI38</f>
        <v>627598</v>
      </c>
      <c r="BP28" s="3">
        <f>[2]Foglalkoztatottak!AJ38</f>
        <v>137791.66666666666</v>
      </c>
      <c r="BQ28" s="3">
        <f>[2]Foglalkoztatottak!AK38</f>
        <v>2480147</v>
      </c>
      <c r="BR28" s="3">
        <f t="shared" si="27"/>
        <v>8349619</v>
      </c>
      <c r="BS28" s="44">
        <f t="shared" si="16"/>
        <v>18.980645933549614</v>
      </c>
      <c r="BT28" s="33">
        <f t="shared" si="17"/>
        <v>17.617389407418479</v>
      </c>
      <c r="BU28" s="124">
        <f>'[3]Nettó eszközállomány'!B35</f>
        <v>162934</v>
      </c>
      <c r="BV28" s="80">
        <f>'[3]Nettó eszközállomány'!C35</f>
        <v>150011</v>
      </c>
      <c r="BW28" s="125">
        <f t="shared" si="32"/>
        <v>1.0861470158855018</v>
      </c>
      <c r="BX28" s="125">
        <f t="shared" si="66"/>
        <v>1.1900780934985329</v>
      </c>
      <c r="BY28" s="126" t="s">
        <v>1047</v>
      </c>
      <c r="BZ28" s="123">
        <f t="shared" si="19"/>
        <v>136910.34301876329</v>
      </c>
      <c r="CA28" s="24"/>
      <c r="CB28" s="3"/>
      <c r="CC28" s="16"/>
      <c r="CD28" s="16"/>
      <c r="CE28" s="116" t="s">
        <v>1063</v>
      </c>
      <c r="CF28" s="25">
        <f t="shared" si="28"/>
        <v>31576.054440845997</v>
      </c>
      <c r="CG28" s="24"/>
      <c r="CH28" s="3"/>
      <c r="CI28" s="16"/>
      <c r="CJ28" s="59">
        <v>1.23063308253138</v>
      </c>
      <c r="CK28" s="59"/>
      <c r="CL28" s="25">
        <f t="shared" si="34"/>
        <v>168486.39745960929</v>
      </c>
      <c r="CM28" s="24"/>
      <c r="CN28" s="3"/>
      <c r="CO28" s="16"/>
      <c r="CP28" s="16"/>
      <c r="CQ28" s="116" t="s">
        <v>1031</v>
      </c>
      <c r="CR28" s="25">
        <v>253777.12259594165</v>
      </c>
      <c r="CS28" s="24"/>
      <c r="CT28" s="3"/>
      <c r="CU28" s="16"/>
      <c r="CV28" s="16"/>
      <c r="CW28" s="16"/>
      <c r="CX28" s="25">
        <f t="shared" si="29"/>
        <v>422263.52005555097</v>
      </c>
    </row>
    <row r="29" spans="2:102" x14ac:dyDescent="0.35">
      <c r="B29">
        <f>'[1]Összesítő H'!B37</f>
        <v>2019</v>
      </c>
      <c r="C29" s="24">
        <f>'[1]Összesítő H'!C37</f>
        <v>92764658</v>
      </c>
      <c r="D29" s="3">
        <f>'[1]Összesítő H'!D37</f>
        <v>89406917</v>
      </c>
      <c r="E29" s="16">
        <f t="shared" si="42"/>
        <v>1.0375557184238888</v>
      </c>
      <c r="F29" s="16">
        <f t="shared" si="57"/>
        <v>1.1178431305742063</v>
      </c>
      <c r="G29" s="116" t="s">
        <v>1080</v>
      </c>
      <c r="H29" s="6">
        <f t="shared" si="36"/>
        <v>82985398.812040165</v>
      </c>
      <c r="I29" s="131">
        <f t="shared" si="20"/>
        <v>82985.398812040163</v>
      </c>
      <c r="J29" s="24">
        <f>'[1]Összesítő H'!H37</f>
        <v>40270141</v>
      </c>
      <c r="K29" s="3">
        <f>'[1]Összesítő H'!I37</f>
        <v>38347274</v>
      </c>
      <c r="L29" s="16">
        <f t="shared" si="43"/>
        <v>1.0501435121568223</v>
      </c>
      <c r="M29" s="16">
        <f t="shared" si="58"/>
        <v>1.1603521745165006</v>
      </c>
      <c r="N29" s="25">
        <f t="shared" si="37"/>
        <v>34705102.368408017</v>
      </c>
      <c r="O29" s="24">
        <f>'[1]Összesítő H'!M37</f>
        <v>7243771</v>
      </c>
      <c r="P29" s="3">
        <f>'[1]Összesítő H'!N37</f>
        <v>6984277</v>
      </c>
      <c r="Q29" s="16">
        <f t="shared" si="44"/>
        <v>1.0371540246757109</v>
      </c>
      <c r="R29" s="16">
        <f t="shared" si="59"/>
        <v>1.1450569216724222</v>
      </c>
      <c r="S29" s="25">
        <f t="shared" si="21"/>
        <v>6328822.5571197569</v>
      </c>
      <c r="T29" s="24">
        <f>'[1]Összesítő H'!P37</f>
        <v>47513912</v>
      </c>
      <c r="U29" s="3">
        <f>'[1]Összesítő H'!Q37</f>
        <v>45331551</v>
      </c>
      <c r="V29" s="16">
        <f t="shared" si="45"/>
        <v>1.0481422089440531</v>
      </c>
      <c r="W29" s="16">
        <f t="shared" si="60"/>
        <v>1.1579177981690203</v>
      </c>
      <c r="X29" s="25">
        <f t="shared" si="38"/>
        <v>41033924.925527774</v>
      </c>
      <c r="Y29" s="24">
        <f t="shared" si="22"/>
        <v>0</v>
      </c>
      <c r="Z29" s="3">
        <f t="shared" si="22"/>
        <v>0</v>
      </c>
      <c r="AA29" s="25">
        <f t="shared" si="23"/>
        <v>0</v>
      </c>
      <c r="AB29" s="24">
        <f>'[1]Összesítő H'!AX37</f>
        <v>32654543</v>
      </c>
      <c r="AC29" s="3">
        <f>'[1]Összesítő H'!AY37</f>
        <v>31170204</v>
      </c>
      <c r="AD29" s="16">
        <f t="shared" si="46"/>
        <v>1.0476204454741458</v>
      </c>
      <c r="AE29" s="16">
        <f t="shared" si="61"/>
        <v>1.1575264458132333</v>
      </c>
      <c r="AF29" s="116" t="s">
        <v>462</v>
      </c>
      <c r="AG29" s="25">
        <f t="shared" si="39"/>
        <v>28210623.712409597</v>
      </c>
      <c r="AH29" s="24">
        <f>'[1]Összesítő H'!BG37</f>
        <v>13377583</v>
      </c>
      <c r="AI29" s="3">
        <f>'[1]Összesítő H'!BH37</f>
        <v>12738369</v>
      </c>
      <c r="AJ29" s="16">
        <f t="shared" si="47"/>
        <v>1.050180207528923</v>
      </c>
      <c r="AK29" s="16">
        <f t="shared" si="62"/>
        <v>1.2101940739177452</v>
      </c>
      <c r="AL29" s="116" t="s">
        <v>463</v>
      </c>
      <c r="AM29" s="25">
        <f t="shared" si="40"/>
        <v>11054080.736565605</v>
      </c>
      <c r="AN29" s="24">
        <f>'[1]Összesítő H'!BI37</f>
        <v>39050821</v>
      </c>
      <c r="AO29" s="3">
        <f>'[1]Összesítő H'!BJ37</f>
        <v>38468866</v>
      </c>
      <c r="AP29" s="16">
        <f t="shared" si="48"/>
        <v>1.0151279478838811</v>
      </c>
      <c r="AQ29" s="16">
        <f t="shared" si="63"/>
        <v>1.0390044648773902</v>
      </c>
      <c r="AR29" s="116" t="s">
        <v>464</v>
      </c>
      <c r="AS29" s="25">
        <f t="shared" si="41"/>
        <v>37584844.262058362</v>
      </c>
      <c r="AT29" s="24">
        <f>'[1]Összesítő H'!BK37</f>
        <v>37569035</v>
      </c>
      <c r="AU29" s="3">
        <f>'[1]Összesítő H'!BL37</f>
        <v>37045888</v>
      </c>
      <c r="AV29" s="16">
        <f t="shared" si="49"/>
        <v>1.0141215942778858</v>
      </c>
      <c r="AW29" s="16">
        <f t="shared" si="64"/>
        <v>1.0464570578426888</v>
      </c>
      <c r="AX29" s="25">
        <f t="shared" si="24"/>
        <v>35815623.785505794</v>
      </c>
      <c r="AY29" s="24">
        <f t="shared" si="30"/>
        <v>47513912</v>
      </c>
      <c r="AZ29" s="3">
        <f t="shared" si="31"/>
        <v>45331551</v>
      </c>
      <c r="BA29" s="16">
        <f t="shared" si="50"/>
        <v>1.0481422089440531</v>
      </c>
      <c r="BB29" s="16">
        <f t="shared" si="65"/>
        <v>1.1579177981690203</v>
      </c>
      <c r="BC29" s="25">
        <f t="shared" si="25"/>
        <v>41033924.925527774</v>
      </c>
      <c r="BD29" s="24">
        <f t="shared" si="11"/>
        <v>47513912</v>
      </c>
      <c r="BE29" s="3">
        <f t="shared" si="12"/>
        <v>47513912</v>
      </c>
      <c r="BF29" s="3">
        <f t="shared" si="13"/>
        <v>0</v>
      </c>
      <c r="BG29" s="3">
        <f t="shared" si="14"/>
        <v>41033924.925527774</v>
      </c>
      <c r="BH29" s="3">
        <f t="shared" si="15"/>
        <v>41033924.925527774</v>
      </c>
      <c r="BI29" s="25">
        <f t="shared" si="26"/>
        <v>0</v>
      </c>
      <c r="BJ29" s="3">
        <f>[2]Foglalkoztatottak!AD39</f>
        <v>4512100</v>
      </c>
      <c r="BK29" s="3">
        <f>[2]Foglalkoztatottak!AE39</f>
        <v>159700</v>
      </c>
      <c r="BL29" s="3">
        <f>[2]Foglalkoztatottak!AF39</f>
        <v>101125</v>
      </c>
      <c r="BM29" s="3">
        <f>[2]Foglalkoztatottak!AG39</f>
        <v>118640.9464285709</v>
      </c>
      <c r="BN29" s="3">
        <f>[2]Foglalkoztatottak!AH39</f>
        <v>226200</v>
      </c>
      <c r="BO29" s="3">
        <f>[2]Foglalkoztatottak!AI39</f>
        <v>618400</v>
      </c>
      <c r="BP29" s="3">
        <f>[2]Foglalkoztatottak!AJ39</f>
        <v>145834.0535714291</v>
      </c>
      <c r="BQ29" s="3">
        <f>[2]Foglalkoztatottak!AK39</f>
        <v>2467700</v>
      </c>
      <c r="BR29" s="3">
        <f t="shared" si="27"/>
        <v>8349700</v>
      </c>
      <c r="BS29" s="44">
        <f t="shared" si="16"/>
        <v>20.559087342922364</v>
      </c>
      <c r="BT29" s="33">
        <f t="shared" si="17"/>
        <v>18.391746373537856</v>
      </c>
      <c r="BU29" s="127"/>
      <c r="BV29" s="128"/>
      <c r="BW29" s="129"/>
      <c r="BX29" s="129"/>
      <c r="BY29" s="126" t="s">
        <v>1048</v>
      </c>
      <c r="BZ29" s="130" cm="1">
        <f t="array" ref="BZ29:BZ35">TREND(BZ5:BZ28,B5:B28,B29:B35)</f>
        <v>139214.01312446408</v>
      </c>
      <c r="CA29" s="24"/>
      <c r="CB29" s="3"/>
      <c r="CC29" s="16"/>
      <c r="CD29" s="16"/>
      <c r="CE29" s="116" t="s">
        <v>1064</v>
      </c>
      <c r="CF29" s="25">
        <f t="shared" si="28"/>
        <v>33391.715303735196</v>
      </c>
      <c r="CG29" s="24"/>
      <c r="CH29" s="3"/>
      <c r="CI29" s="16"/>
      <c r="CJ29" s="59">
        <v>1.2398588658878857</v>
      </c>
      <c r="CK29" s="59"/>
      <c r="CL29" s="25">
        <f t="shared" si="34"/>
        <v>172605.72842819928</v>
      </c>
      <c r="CM29" s="24"/>
      <c r="CN29" s="3"/>
      <c r="CO29" s="16"/>
      <c r="CP29" s="16"/>
      <c r="CQ29" s="116" t="s">
        <v>1032</v>
      </c>
      <c r="CR29" s="25">
        <v>257987.34167956375</v>
      </c>
      <c r="CS29" s="24"/>
      <c r="CT29" s="3"/>
      <c r="CU29" s="16"/>
      <c r="CV29" s="16"/>
      <c r="CW29" s="16"/>
      <c r="CX29" s="25">
        <f t="shared" si="29"/>
        <v>430593.07010776305</v>
      </c>
    </row>
    <row r="30" spans="2:102" x14ac:dyDescent="0.35">
      <c r="B30">
        <f>B29+1</f>
        <v>2020</v>
      </c>
      <c r="C30" s="26">
        <f>H30*F30</f>
        <v>94826378.368549481</v>
      </c>
      <c r="D30" s="27"/>
      <c r="E30" s="28" cm="1">
        <f t="array" ref="E30">TREND(E20:E29,$B$20:$B$29,$B$30)</f>
        <v>1.0262096239846346</v>
      </c>
      <c r="F30" s="28">
        <f t="shared" si="57"/>
        <v>1.147141378700363</v>
      </c>
      <c r="G30" s="117" t="s">
        <v>1081</v>
      </c>
      <c r="H30" s="27" cm="1">
        <f t="array" ref="H30">TREND(H20:H29,$B$20:$B$29,$B$30)</f>
        <v>82663201.00490284</v>
      </c>
      <c r="I30" s="132">
        <f t="shared" si="20"/>
        <v>82663.201004902847</v>
      </c>
      <c r="J30" s="26">
        <f>N30*M30</f>
        <v>41903949.436459787</v>
      </c>
      <c r="K30" s="27"/>
      <c r="L30" s="28" cm="1">
        <f t="array" ref="L30">TREND(L20:L29,$B$20:$B$29,$B$30)</f>
        <v>1.0460732212175277</v>
      </c>
      <c r="M30" s="28">
        <f t="shared" si="58"/>
        <v>1.2138133369432387</v>
      </c>
      <c r="N30" s="29" cm="1">
        <f t="array" ref="N30">TREND(N20:N29,$B$20:$B$29,$B$30)</f>
        <v>34522564.681969166</v>
      </c>
      <c r="O30" s="26">
        <f>S30*R30</f>
        <v>7428680.3099197112</v>
      </c>
      <c r="P30" s="30"/>
      <c r="Q30" s="28" cm="1">
        <f t="array" ref="Q30">TREND(Q20:Q29,$B$20:$B$29,$B$30)</f>
        <v>1.0411407355655655</v>
      </c>
      <c r="R30" s="28">
        <f t="shared" si="59"/>
        <v>1.1921654056944679</v>
      </c>
      <c r="S30" s="29">
        <f t="shared" si="21"/>
        <v>6231249.6860218048</v>
      </c>
      <c r="T30" s="26">
        <f>J30+O30</f>
        <v>49332629.746379495</v>
      </c>
      <c r="U30" s="27"/>
      <c r="V30" s="28" cm="1">
        <f t="array" ref="V30">TREND(V20:V29,$B$20:$B$29,$B$30)</f>
        <v>1.0452861764030663</v>
      </c>
      <c r="W30" s="28">
        <f t="shared" si="60"/>
        <v>1.2103554678371526</v>
      </c>
      <c r="X30" s="29" cm="1">
        <f t="array" ref="X30">TREND(X20:X29,$B$20:$B$29,$B$30)</f>
        <v>40753814.367990971</v>
      </c>
      <c r="Y30" s="26">
        <f t="shared" si="22"/>
        <v>0</v>
      </c>
      <c r="Z30" s="27">
        <f t="shared" si="22"/>
        <v>0</v>
      </c>
      <c r="AA30" s="29">
        <f t="shared" si="23"/>
        <v>0</v>
      </c>
      <c r="AB30" s="26">
        <f>AG30*AE30</f>
        <v>33565450.77524662</v>
      </c>
      <c r="AC30" s="30"/>
      <c r="AD30" s="28" cm="1">
        <f t="array" ref="AD30">TREND(AD20:AD29,$B$20:$B$29,$B$30)</f>
        <v>1.0396613038163633</v>
      </c>
      <c r="AE30" s="28">
        <f t="shared" si="61"/>
        <v>1.2034354538561072</v>
      </c>
      <c r="AF30" s="117" t="s">
        <v>473</v>
      </c>
      <c r="AG30" s="29" cm="1">
        <f t="array" ref="AG30">TREND(AG20:AG29,$B$20:$B$29,$B$30)</f>
        <v>27891359.414162636</v>
      </c>
      <c r="AH30" s="26">
        <f>AM30*AK30</f>
        <v>13349397.454684319</v>
      </c>
      <c r="AI30" s="30"/>
      <c r="AJ30" s="28" cm="1">
        <f t="array" ref="AJ30">TREND(AJ20:AJ29,$B$20:$B$29,$B$30)</f>
        <v>1.0670932853609543</v>
      </c>
      <c r="AK30" s="28">
        <f t="shared" si="62"/>
        <v>1.2913899702612444</v>
      </c>
      <c r="AL30" s="117" t="s">
        <v>474</v>
      </c>
      <c r="AM30" s="29" cm="1">
        <f t="array" ref="AM30">TREND(AM20:AM29,$B$20:$B$29,$B$30)</f>
        <v>10337231.790629268</v>
      </c>
      <c r="AN30" s="26">
        <f>AS30*AQ30</f>
        <v>40050164.834822893</v>
      </c>
      <c r="AO30" s="30"/>
      <c r="AP30" s="28" cm="1">
        <f t="array" ref="AP30">TREND(AP20:AP29,$B$20:$B$29,$B$30)</f>
        <v>1.0047624044215371</v>
      </c>
      <c r="AQ30" s="28">
        <f t="shared" si="63"/>
        <v>1.0439526243349191</v>
      </c>
      <c r="AR30" s="117" t="s">
        <v>475</v>
      </c>
      <c r="AS30" s="29" cm="1">
        <f t="array" ref="AS30">TREND(AS20:AS29,$B$20:$B$29,$B$30)</f>
        <v>38363967.771370888</v>
      </c>
      <c r="AT30" s="29">
        <f t="shared" ref="AT30:AT35" si="67">AB30+AH30+AN30-AY30</f>
        <v>37632383.318374336</v>
      </c>
      <c r="AU30" s="30"/>
      <c r="AV30" s="28" cm="1">
        <f t="array" ref="AV30">TREND(AV20:AV29,$B$20:$B$29,$B$30)</f>
        <v>1.0039173277511457</v>
      </c>
      <c r="AW30" s="28">
        <f t="shared" si="64"/>
        <v>1.0505563731157583</v>
      </c>
      <c r="AX30" s="29">
        <f t="shared" si="24"/>
        <v>35838744.608171821</v>
      </c>
      <c r="AY30" s="26">
        <f t="shared" si="30"/>
        <v>49332629.746379495</v>
      </c>
      <c r="AZ30" s="27"/>
      <c r="BA30" s="28" cm="1">
        <f t="array" ref="BA30">TREND(BA20:BA29,$B$20:$B$29,$B$30)</f>
        <v>1.0452861764030663</v>
      </c>
      <c r="BB30" s="28">
        <f t="shared" si="65"/>
        <v>1.2103554678371526</v>
      </c>
      <c r="BC30" s="29">
        <f t="shared" si="25"/>
        <v>40753814.367990971</v>
      </c>
      <c r="BD30" s="26">
        <f t="shared" ref="BD30:BD35" si="68">T30</f>
        <v>49332629.746379495</v>
      </c>
      <c r="BE30" s="27">
        <f t="shared" ref="BE30:BE35" si="69">AY30</f>
        <v>49332629.746379495</v>
      </c>
      <c r="BF30" s="27">
        <f>BD30-BE30</f>
        <v>0</v>
      </c>
      <c r="BG30" s="27">
        <f t="shared" ref="BG30:BG35" si="70">X30</f>
        <v>40753814.367990971</v>
      </c>
      <c r="BH30" s="27">
        <f t="shared" ref="BH30:BH35" si="71">BC30</f>
        <v>40753814.367990971</v>
      </c>
      <c r="BI30" s="29">
        <f t="shared" si="26"/>
        <v>0</v>
      </c>
      <c r="BJ30" s="27">
        <f t="shared" ref="BJ30:BJ35" si="72">BR30-BK30-BL30-BM30-BN30-BO30-BP30-BQ30</f>
        <v>5098190</v>
      </c>
      <c r="BK30" s="27">
        <v>200000</v>
      </c>
      <c r="BL30" s="27">
        <v>100000</v>
      </c>
      <c r="BM30" s="27">
        <v>200000</v>
      </c>
      <c r="BN30" s="27">
        <v>250000</v>
      </c>
      <c r="BO30" s="27">
        <v>500000</v>
      </c>
      <c r="BP30" s="27">
        <v>750000</v>
      </c>
      <c r="BQ30" s="27">
        <v>1250000</v>
      </c>
      <c r="BR30" s="27">
        <f>'[1]Összesítő H'!V38</f>
        <v>8348190</v>
      </c>
      <c r="BS30" s="31">
        <f t="shared" si="16"/>
        <v>18.600008702804228</v>
      </c>
      <c r="BT30" s="32">
        <f t="shared" si="17"/>
        <v>16.214225245607331</v>
      </c>
      <c r="BU30" s="26"/>
      <c r="BV30" s="27"/>
      <c r="BW30" s="28"/>
      <c r="BX30" s="28"/>
      <c r="BY30" s="117" t="s">
        <v>1049</v>
      </c>
      <c r="BZ30" s="29">
        <v>140745.28250592109</v>
      </c>
      <c r="CA30" s="26"/>
      <c r="CB30" s="27"/>
      <c r="CC30" s="28"/>
      <c r="CD30" s="28"/>
      <c r="CE30" s="117" t="s">
        <v>1065</v>
      </c>
      <c r="CF30" s="29">
        <f t="shared" si="28"/>
        <v>35057.489325790142</v>
      </c>
      <c r="CG30" s="26"/>
      <c r="CH30" s="27"/>
      <c r="CI30" s="28"/>
      <c r="CJ30" s="78">
        <v>1.2490846492443914</v>
      </c>
      <c r="CK30" s="78"/>
      <c r="CL30" s="29">
        <f t="shared" si="34"/>
        <v>175802.77183171123</v>
      </c>
      <c r="CM30" s="26"/>
      <c r="CN30" s="27"/>
      <c r="CO30" s="28"/>
      <c r="CP30" s="28"/>
      <c r="CQ30" s="117" t="s">
        <v>1033</v>
      </c>
      <c r="CR30" s="29">
        <v>262197.56076318584</v>
      </c>
      <c r="CS30" s="26"/>
      <c r="CT30" s="27"/>
      <c r="CU30" s="28"/>
      <c r="CV30" s="28"/>
      <c r="CW30" s="28"/>
      <c r="CX30" s="29">
        <f t="shared" si="29"/>
        <v>438000.33259489707</v>
      </c>
    </row>
    <row r="31" spans="2:102" x14ac:dyDescent="0.35">
      <c r="B31">
        <f t="shared" ref="B31:B35" si="73">B30+1</f>
        <v>2021</v>
      </c>
      <c r="C31" s="24">
        <f t="shared" ref="C31:C35" si="74">H31*F31</f>
        <v>105213140.53132306</v>
      </c>
      <c r="D31" s="3"/>
      <c r="E31" s="16">
        <f>IF($E$37=0,E63,E73)</f>
        <v>1.0430808023841358</v>
      </c>
      <c r="F31" s="16">
        <f t="shared" si="57"/>
        <v>1.1965611497428186</v>
      </c>
      <c r="G31" s="116" t="s">
        <v>1082</v>
      </c>
      <c r="H31" s="6">
        <f>BT31*BJ31</f>
        <v>87929597.70918262</v>
      </c>
      <c r="I31" s="131">
        <f t="shared" si="20"/>
        <v>87929.597709182621</v>
      </c>
      <c r="J31" s="24">
        <f t="shared" ref="J31:J35" si="75">N31*M31</f>
        <v>46596341.954721987</v>
      </c>
      <c r="K31" s="3"/>
      <c r="L31" s="16">
        <f>IF($E$37=0,L63,L73)</f>
        <v>1.0569867706415828</v>
      </c>
      <c r="M31" s="16">
        <f t="shared" si="58"/>
        <v>1.2829846391773172</v>
      </c>
      <c r="N31" s="25">
        <f>IF($E$37=0,N63,N73)</f>
        <v>36318706.03267765</v>
      </c>
      <c r="O31" s="24">
        <f>T31-J31</f>
        <v>8241253.2007707804</v>
      </c>
      <c r="Q31" s="16"/>
      <c r="R31" s="16"/>
      <c r="S31" s="25">
        <f t="shared" si="21"/>
        <v>6540943.6652092934</v>
      </c>
      <c r="T31" s="24">
        <f t="shared" ref="T31:T35" si="76">X31*W31</f>
        <v>54837595.155492768</v>
      </c>
      <c r="U31" s="3"/>
      <c r="V31" s="16">
        <f>IF($E$37=0,V63,V73)</f>
        <v>1.057101885389061</v>
      </c>
      <c r="W31" s="16">
        <f t="shared" si="60"/>
        <v>1.279469047041613</v>
      </c>
      <c r="X31" s="25">
        <f>IF($E$37=0,X63,X73)</f>
        <v>42859649.697886944</v>
      </c>
      <c r="Y31" s="24">
        <f t="shared" si="22"/>
        <v>0</v>
      </c>
      <c r="Z31" s="3">
        <f t="shared" si="22"/>
        <v>0</v>
      </c>
      <c r="AA31" s="25">
        <f t="shared" si="23"/>
        <v>0</v>
      </c>
      <c r="AB31" s="24">
        <f t="shared" ref="AB31:AB35" si="77">AG31*AE31</f>
        <v>37308738.996404052</v>
      </c>
      <c r="AD31" s="16">
        <f>IF($E$37=0,AD63,AD73)</f>
        <v>1.0555739462691633</v>
      </c>
      <c r="AE31" s="16">
        <f t="shared" si="61"/>
        <v>1.2703151111071127</v>
      </c>
      <c r="AF31" s="116" t="s">
        <v>530</v>
      </c>
      <c r="AG31" s="25">
        <f>IF($E$37=0,AG63,AG73)</f>
        <v>29369672.666405201</v>
      </c>
      <c r="AH31" s="24">
        <f t="shared" ref="AH31:AH35" si="78">AM31*AK31</f>
        <v>16164049.25776659</v>
      </c>
      <c r="AJ31" s="16">
        <f>IF($E$37=0,AJ63,AJ73)</f>
        <v>1.083229034414785</v>
      </c>
      <c r="AK31" s="16">
        <f t="shared" si="62"/>
        <v>1.3988711105390257</v>
      </c>
      <c r="AL31" s="116" t="s">
        <v>531</v>
      </c>
      <c r="AM31" s="25">
        <f>IF($E$37=0,AM63,AM73)</f>
        <v>11555066.893573999</v>
      </c>
      <c r="AN31" s="24">
        <f t="shared" ref="AN31:AN35" si="79">AS31*AQ31</f>
        <v>43067705.063175224</v>
      </c>
      <c r="AP31" s="16">
        <f>IF($E$37=0,AP63,AP73)</f>
        <v>1.0209470410742467</v>
      </c>
      <c r="AQ31" s="16">
        <f t="shared" si="63"/>
        <v>1.0658203428364303</v>
      </c>
      <c r="AR31" s="116" t="s">
        <v>532</v>
      </c>
      <c r="AS31" s="25">
        <f>IF($E$37=0,AS63,AS73)</f>
        <v>40408034.386508942</v>
      </c>
      <c r="AT31" s="24">
        <f t="shared" si="67"/>
        <v>41702898.16185309</v>
      </c>
      <c r="AV31" s="16">
        <f>IF($E$37=0,AV63,AV73)</f>
        <v>1.0262814517458487</v>
      </c>
      <c r="AW31" s="16">
        <f t="shared" si="64"/>
        <v>1.078166519742094</v>
      </c>
      <c r="AX31" s="25">
        <f t="shared" si="24"/>
        <v>38473124.248601198</v>
      </c>
      <c r="AY31" s="24">
        <f t="shared" si="30"/>
        <v>54837595.155492768</v>
      </c>
      <c r="AZ31" s="3"/>
      <c r="BA31" s="16">
        <f>IF($E$37=0,BA63,BA73)</f>
        <v>1.057101885389061</v>
      </c>
      <c r="BB31" s="16">
        <f t="shared" si="65"/>
        <v>1.279469047041613</v>
      </c>
      <c r="BC31" s="25">
        <f t="shared" si="25"/>
        <v>42859649.697886944</v>
      </c>
      <c r="BD31" s="24">
        <f t="shared" si="68"/>
        <v>54837595.155492768</v>
      </c>
      <c r="BE31" s="3">
        <f t="shared" si="69"/>
        <v>54837595.155492768</v>
      </c>
      <c r="BF31" s="3">
        <f t="shared" ref="BF31:BF35" si="80">BD31-BE31</f>
        <v>0</v>
      </c>
      <c r="BG31" s="3">
        <f t="shared" si="70"/>
        <v>42859649.697886944</v>
      </c>
      <c r="BH31" s="3">
        <f t="shared" si="71"/>
        <v>42859649.697886944</v>
      </c>
      <c r="BI31" s="25">
        <f>BG31-BH31</f>
        <v>0</v>
      </c>
      <c r="BJ31" s="24">
        <f t="shared" si="72"/>
        <v>5007346.6666666977</v>
      </c>
      <c r="BK31" s="3">
        <f t="shared" ref="BK31:BQ35" si="81">IF($E$37=0,BK63,BK73)</f>
        <v>132606.66666666418</v>
      </c>
      <c r="BL31" s="3">
        <f t="shared" si="81"/>
        <v>67441.833333335817</v>
      </c>
      <c r="BM31" s="3">
        <f t="shared" si="81"/>
        <v>171234.67500000075</v>
      </c>
      <c r="BN31" s="3">
        <f t="shared" si="81"/>
        <v>237333.06666666665</v>
      </c>
      <c r="BO31" s="3">
        <f t="shared" si="81"/>
        <v>514606.13333333284</v>
      </c>
      <c r="BP31" s="3">
        <f t="shared" si="81"/>
        <v>583450.15833333135</v>
      </c>
      <c r="BQ31" s="3">
        <f t="shared" si="81"/>
        <v>1608892.5333333015</v>
      </c>
      <c r="BR31" s="6">
        <f>IF($E$37=0,BR63,BR73)</f>
        <v>8322911.7333333306</v>
      </c>
      <c r="BS31" s="44">
        <f t="shared" si="16"/>
        <v>21.011754834494333</v>
      </c>
      <c r="BT31" s="33">
        <f>IF($E$37=0,BT63,BT73)</f>
        <v>17.560117875304968</v>
      </c>
      <c r="BU31" s="24"/>
      <c r="BV31" s="3"/>
      <c r="BW31" s="16"/>
      <c r="BX31" s="16"/>
      <c r="BY31" s="116" t="s">
        <v>1050</v>
      </c>
      <c r="BZ31" s="25">
        <v>142276.5518873781</v>
      </c>
      <c r="CA31" s="24"/>
      <c r="CB31" s="3"/>
      <c r="CC31" s="16"/>
      <c r="CD31" s="16"/>
      <c r="CE31" s="116" t="s">
        <v>1066</v>
      </c>
      <c r="CF31" s="25">
        <f t="shared" si="28"/>
        <v>36751.517666992615</v>
      </c>
      <c r="CG31" s="24"/>
      <c r="CH31" s="3"/>
      <c r="CI31" s="16"/>
      <c r="CJ31" s="59">
        <v>1.2583104326008971</v>
      </c>
      <c r="CK31" s="59"/>
      <c r="CL31" s="25">
        <f t="shared" si="34"/>
        <v>179028.06955437071</v>
      </c>
      <c r="CM31" s="24"/>
      <c r="CN31" s="3"/>
      <c r="CO31" s="16"/>
      <c r="CP31" s="16"/>
      <c r="CQ31" s="116" t="s">
        <v>1034</v>
      </c>
      <c r="CR31" s="25">
        <v>266407.7798468098</v>
      </c>
      <c r="CS31" s="24"/>
      <c r="CT31" s="3"/>
      <c r="CU31" s="16"/>
      <c r="CV31" s="16"/>
      <c r="CW31" s="16"/>
      <c r="CX31" s="25">
        <f t="shared" si="29"/>
        <v>445435.84940118052</v>
      </c>
    </row>
    <row r="32" spans="2:102" x14ac:dyDescent="0.35">
      <c r="B32">
        <f t="shared" si="73"/>
        <v>2022</v>
      </c>
      <c r="C32" s="24">
        <f t="shared" si="74"/>
        <v>114550792.23101041</v>
      </c>
      <c r="D32" s="3"/>
      <c r="E32" s="16">
        <f>IF($E$37=0,E64,E74)</f>
        <v>1.0483741259165527</v>
      </c>
      <c r="F32" s="16">
        <f t="shared" si="57"/>
        <v>1.2544437494673326</v>
      </c>
      <c r="G32" s="116" t="s">
        <v>1083</v>
      </c>
      <c r="H32" s="6">
        <f t="shared" ref="H32:H35" si="82">BT32*BJ32</f>
        <v>91316005.424437299</v>
      </c>
      <c r="I32" s="131">
        <f t="shared" si="20"/>
        <v>91316.005424437302</v>
      </c>
      <c r="J32" s="24">
        <f t="shared" si="75"/>
        <v>51115614.531453975</v>
      </c>
      <c r="K32" s="3"/>
      <c r="L32" s="16">
        <f>IF($E$37=0,L64,L74)</f>
        <v>1.0626553025375465</v>
      </c>
      <c r="M32" s="16">
        <f t="shared" si="58"/>
        <v>1.363370429895997</v>
      </c>
      <c r="N32" s="25">
        <f>IF($E$37=0,N64,N74)</f>
        <v>37492095.626097202</v>
      </c>
      <c r="O32" s="24">
        <f t="shared" ref="O32:O35" si="83">T32-J32</f>
        <v>8997701.4703225791</v>
      </c>
      <c r="Q32" s="16"/>
      <c r="R32" s="16"/>
      <c r="S32" s="25">
        <f t="shared" si="21"/>
        <v>6714454.482257843</v>
      </c>
      <c r="T32" s="24">
        <f t="shared" si="76"/>
        <v>60113316.001776554</v>
      </c>
      <c r="U32" s="3"/>
      <c r="V32" s="16">
        <f>IF($E$37=0,V64,V74)</f>
        <v>1.0628066857853735</v>
      </c>
      <c r="W32" s="16">
        <f t="shared" si="60"/>
        <v>1.3598282574512668</v>
      </c>
      <c r="X32" s="25">
        <f>IF($E$37=0,X64,X74)</f>
        <v>44206550.108355045</v>
      </c>
      <c r="Y32" s="24">
        <f t="shared" si="22"/>
        <v>0</v>
      </c>
      <c r="Z32" s="3">
        <f t="shared" si="22"/>
        <v>0</v>
      </c>
      <c r="AA32" s="25">
        <f t="shared" si="23"/>
        <v>0</v>
      </c>
      <c r="AB32" s="24">
        <f t="shared" si="77"/>
        <v>40779498.183757208</v>
      </c>
      <c r="AD32" s="16">
        <f>IF($E$37=0,AD64,AD74)</f>
        <v>1.0618616886360623</v>
      </c>
      <c r="AE32" s="16">
        <f t="shared" si="61"/>
        <v>1.3488989489801058</v>
      </c>
      <c r="AF32" s="116" t="s">
        <v>564</v>
      </c>
      <c r="AG32" s="25">
        <f>IF($E$37=0,AG64,AG74)</f>
        <v>30231692.458942413</v>
      </c>
      <c r="AH32" s="24">
        <f t="shared" si="78"/>
        <v>18619443.995100688</v>
      </c>
      <c r="AJ32" s="16">
        <f>IF($E$37=0,AJ64,AJ74)</f>
        <v>1.0914911154557387</v>
      </c>
      <c r="AK32" s="16">
        <f t="shared" si="62"/>
        <v>1.5268553888210492</v>
      </c>
      <c r="AL32" s="116" t="s">
        <v>565</v>
      </c>
      <c r="AM32" s="25">
        <f>IF($E$37=0,AM64,AM74)</f>
        <v>12194634.889082432</v>
      </c>
      <c r="AN32" s="24">
        <f t="shared" si="79"/>
        <v>45952447.819136262</v>
      </c>
      <c r="AP32" s="16">
        <f>IF($E$37=0,AP64,AP74)</f>
        <v>1.0249793434617276</v>
      </c>
      <c r="AQ32" s="16">
        <f t="shared" si="63"/>
        <v>1.0924438352486379</v>
      </c>
      <c r="AR32" s="116" t="s">
        <v>566</v>
      </c>
      <c r="AS32" s="25">
        <f>IF($E$37=0,AS64,AS74)</f>
        <v>42063899.613363266</v>
      </c>
      <c r="AT32" s="24">
        <f t="shared" si="67"/>
        <v>45238073.996217601</v>
      </c>
      <c r="AV32" s="16">
        <f>IF($E$37=0,AV64,AV74)</f>
        <v>1.0318501353008589</v>
      </c>
      <c r="AW32" s="16">
        <f t="shared" si="64"/>
        <v>1.1125062692727359</v>
      </c>
      <c r="AX32" s="25">
        <f t="shared" si="24"/>
        <v>40283676.853033066</v>
      </c>
      <c r="AY32" s="24">
        <f t="shared" si="30"/>
        <v>60113316.001776554</v>
      </c>
      <c r="AZ32" s="3"/>
      <c r="BA32" s="16">
        <f>IF($E$37=0,BA64,BA74)</f>
        <v>1.0628066857853735</v>
      </c>
      <c r="BB32" s="16">
        <f t="shared" si="65"/>
        <v>1.3598282574512668</v>
      </c>
      <c r="BC32" s="25">
        <f t="shared" si="25"/>
        <v>44206550.108355045</v>
      </c>
      <c r="BD32" s="24">
        <f t="shared" si="68"/>
        <v>60113316.001776554</v>
      </c>
      <c r="BE32" s="3">
        <f t="shared" si="69"/>
        <v>60113316.001776554</v>
      </c>
      <c r="BF32" s="3">
        <f t="shared" si="80"/>
        <v>0</v>
      </c>
      <c r="BG32" s="3">
        <f t="shared" si="70"/>
        <v>44206550.108355045</v>
      </c>
      <c r="BH32" s="3">
        <f t="shared" si="71"/>
        <v>44206550.108355045</v>
      </c>
      <c r="BI32" s="25">
        <f t="shared" si="26"/>
        <v>0</v>
      </c>
      <c r="BJ32" s="24">
        <f t="shared" si="72"/>
        <v>5149293.8095238023</v>
      </c>
      <c r="BK32" s="3">
        <f t="shared" si="81"/>
        <v>110218.09523809701</v>
      </c>
      <c r="BL32" s="3">
        <f t="shared" si="81"/>
        <v>44520.821428567171</v>
      </c>
      <c r="BM32" s="3">
        <f t="shared" si="81"/>
        <v>183927.71326530725</v>
      </c>
      <c r="BN32" s="3">
        <f t="shared" si="81"/>
        <v>237343.75238095236</v>
      </c>
      <c r="BO32" s="3">
        <f t="shared" si="81"/>
        <v>484131.79047618806</v>
      </c>
      <c r="BP32" s="3">
        <f t="shared" si="81"/>
        <v>691652.41768705845</v>
      </c>
      <c r="BQ32" s="3">
        <f t="shared" si="81"/>
        <v>1408459.5904762149</v>
      </c>
      <c r="BR32" s="6">
        <f>IF($E$37=0,BR64,BR74)</f>
        <v>8309547.9904761873</v>
      </c>
      <c r="BS32" s="44">
        <f t="shared" si="16"/>
        <v>22.245922735879752</v>
      </c>
      <c r="BT32" s="33">
        <f>IF($E$37=0,BT64,BT74)</f>
        <v>17.733694910852648</v>
      </c>
      <c r="BU32" s="24"/>
      <c r="BV32" s="3"/>
      <c r="BW32" s="16"/>
      <c r="BX32" s="16"/>
      <c r="BY32" s="116" t="s">
        <v>1051</v>
      </c>
      <c r="BZ32" s="25">
        <v>143807.82126883511</v>
      </c>
      <c r="CA32" s="24"/>
      <c r="CB32" s="3"/>
      <c r="CC32" s="16"/>
      <c r="CD32" s="16"/>
      <c r="CE32" s="116" t="s">
        <v>1067</v>
      </c>
      <c r="CF32" s="25">
        <f t="shared" si="28"/>
        <v>38473.800327342673</v>
      </c>
      <c r="CG32" s="24"/>
      <c r="CH32" s="3"/>
      <c r="CI32" s="16"/>
      <c r="CJ32" s="59">
        <v>1.2675362159574028</v>
      </c>
      <c r="CK32" s="59"/>
      <c r="CL32" s="25">
        <f t="shared" si="34"/>
        <v>182281.62159617778</v>
      </c>
      <c r="CM32" s="24"/>
      <c r="CN32" s="3"/>
      <c r="CO32" s="16"/>
      <c r="CP32" s="16"/>
      <c r="CQ32" s="116" t="s">
        <v>1035</v>
      </c>
      <c r="CR32" s="25">
        <v>270617.9989304319</v>
      </c>
      <c r="CS32" s="24"/>
      <c r="CT32" s="3"/>
      <c r="CU32" s="16"/>
      <c r="CV32" s="16"/>
      <c r="CW32" s="16"/>
      <c r="CX32" s="25">
        <f t="shared" si="29"/>
        <v>452899.62052660971</v>
      </c>
    </row>
    <row r="33" spans="2:102" x14ac:dyDescent="0.35">
      <c r="B33">
        <f t="shared" si="73"/>
        <v>2023</v>
      </c>
      <c r="C33" s="24">
        <f t="shared" si="74"/>
        <v>125239614.90014589</v>
      </c>
      <c r="D33" s="3"/>
      <c r="E33" s="16">
        <f>IF($E$37=0,E65,E75)</f>
        <v>1.0536674494489695</v>
      </c>
      <c r="F33" s="16">
        <f t="shared" si="57"/>
        <v>1.3217665459784464</v>
      </c>
      <c r="G33" s="116" t="s">
        <v>1084</v>
      </c>
      <c r="H33" s="6">
        <f t="shared" si="82"/>
        <v>94751690.668215871</v>
      </c>
      <c r="I33" s="131">
        <f t="shared" si="20"/>
        <v>94751.690668215873</v>
      </c>
      <c r="J33" s="24">
        <f t="shared" si="75"/>
        <v>56317096.046832129</v>
      </c>
      <c r="K33" s="3"/>
      <c r="L33" s="16">
        <f>IF($E$37=0,L65,L75)</f>
        <v>1.0683238344335102</v>
      </c>
      <c r="M33" s="16">
        <f t="shared" si="58"/>
        <v>1.4565211254197548</v>
      </c>
      <c r="N33" s="25">
        <f>IF($E$37=0,N65,N75)</f>
        <v>38665485.219517231</v>
      </c>
      <c r="O33" s="24">
        <f t="shared" si="83"/>
        <v>9871708.2460283637</v>
      </c>
      <c r="Q33" s="16"/>
      <c r="R33" s="16"/>
      <c r="S33" s="25">
        <f t="shared" si="21"/>
        <v>6887965.2993063927</v>
      </c>
      <c r="T33" s="24">
        <f t="shared" si="76"/>
        <v>66188804.292860493</v>
      </c>
      <c r="U33" s="3"/>
      <c r="V33" s="16">
        <f>IF($E$37=0,V65,V75)</f>
        <v>1.068511486181686</v>
      </c>
      <c r="W33" s="16">
        <f t="shared" si="60"/>
        <v>1.4529921123211054</v>
      </c>
      <c r="X33" s="25">
        <f>IF($E$37=0,X65,X75)</f>
        <v>45553450.518823624</v>
      </c>
      <c r="Y33" s="24">
        <f t="shared" si="22"/>
        <v>0</v>
      </c>
      <c r="Z33" s="3">
        <f t="shared" si="22"/>
        <v>0</v>
      </c>
      <c r="AA33" s="25">
        <f t="shared" si="23"/>
        <v>0</v>
      </c>
      <c r="AB33" s="24">
        <f t="shared" si="77"/>
        <v>44800618.00500831</v>
      </c>
      <c r="AD33" s="16">
        <f>IF($E$37=0,AD65,AD75)</f>
        <v>1.0681494310029613</v>
      </c>
      <c r="AE33" s="16">
        <f t="shared" si="61"/>
        <v>1.4408256448335925</v>
      </c>
      <c r="AF33" s="116" t="s">
        <v>598</v>
      </c>
      <c r="AG33" s="25">
        <f>IF($E$37=0,AG65,AG75)</f>
        <v>31093712.251479626</v>
      </c>
      <c r="AH33" s="24">
        <f t="shared" si="78"/>
        <v>21550732.664616436</v>
      </c>
      <c r="AJ33" s="16">
        <f>IF($E$37=0,AJ65,AJ75)</f>
        <v>1.0997531964966889</v>
      </c>
      <c r="AK33" s="16">
        <f t="shared" si="62"/>
        <v>1.6791640944441437</v>
      </c>
      <c r="AL33" s="116" t="s">
        <v>599</v>
      </c>
      <c r="AM33" s="25">
        <f>IF($E$37=0,AM65,AM75)</f>
        <v>12834202.884590864</v>
      </c>
      <c r="AN33" s="24">
        <f t="shared" si="79"/>
        <v>49147024.03990183</v>
      </c>
      <c r="AP33" s="16">
        <f>IF($E$37=0,AP65,AP75)</f>
        <v>1.0290116458492085</v>
      </c>
      <c r="AQ33" s="16">
        <f t="shared" si="63"/>
        <v>1.1241374289070223</v>
      </c>
      <c r="AR33" s="116" t="s">
        <v>600</v>
      </c>
      <c r="AS33" s="25">
        <f>IF($E$37=0,AS65,AS75)</f>
        <v>43719764.84021759</v>
      </c>
      <c r="AT33" s="24">
        <f t="shared" si="67"/>
        <v>49309570.416666076</v>
      </c>
      <c r="AV33" s="16">
        <f>IF($E$37=0,AV65,AV75)</f>
        <v>1.0374188188558708</v>
      </c>
      <c r="AW33" s="16">
        <f t="shared" si="64"/>
        <v>1.1541349398386731</v>
      </c>
      <c r="AX33" s="25">
        <f t="shared" si="24"/>
        <v>42094229.457464457</v>
      </c>
      <c r="AY33" s="24">
        <f t="shared" si="30"/>
        <v>66188804.292860493</v>
      </c>
      <c r="AZ33" s="3"/>
      <c r="BA33" s="16">
        <f>IF($E$37=0,BA65,BA75)</f>
        <v>1.068511486181686</v>
      </c>
      <c r="BB33" s="16">
        <f t="shared" si="65"/>
        <v>1.4529921123211054</v>
      </c>
      <c r="BC33" s="25">
        <f t="shared" si="25"/>
        <v>45553450.518823624</v>
      </c>
      <c r="BD33" s="24">
        <f t="shared" si="68"/>
        <v>66188804.292860493</v>
      </c>
      <c r="BE33" s="3">
        <f t="shared" si="69"/>
        <v>66188804.292860493</v>
      </c>
      <c r="BF33" s="3">
        <f t="shared" si="80"/>
        <v>0</v>
      </c>
      <c r="BG33" s="3">
        <f t="shared" si="70"/>
        <v>45553450.518823624</v>
      </c>
      <c r="BH33" s="3">
        <f t="shared" si="71"/>
        <v>45553450.518823624</v>
      </c>
      <c r="BI33" s="25">
        <f t="shared" si="26"/>
        <v>0</v>
      </c>
      <c r="BJ33" s="24">
        <f t="shared" si="72"/>
        <v>5291240.9523809291</v>
      </c>
      <c r="BK33" s="3">
        <f t="shared" si="81"/>
        <v>87829.52380952239</v>
      </c>
      <c r="BL33" s="3">
        <f t="shared" si="81"/>
        <v>21599.809523805976</v>
      </c>
      <c r="BM33" s="3">
        <f t="shared" si="81"/>
        <v>196620.75153061375</v>
      </c>
      <c r="BN33" s="3">
        <f t="shared" si="81"/>
        <v>237354.43809523809</v>
      </c>
      <c r="BO33" s="3">
        <f t="shared" si="81"/>
        <v>453657.44761905074</v>
      </c>
      <c r="BP33" s="3">
        <f t="shared" si="81"/>
        <v>799854.67704081535</v>
      </c>
      <c r="BQ33" s="3">
        <f t="shared" si="81"/>
        <v>1208026.6476190686</v>
      </c>
      <c r="BR33" s="6">
        <f>IF($E$37=0,BR65,BR75)</f>
        <v>8296184.247619044</v>
      </c>
      <c r="BS33" s="44">
        <f t="shared" si="16"/>
        <v>23.669232988490368</v>
      </c>
      <c r="BT33" s="33">
        <f>IF($E$37=0,BT65,BT75)</f>
        <v>17.907271946400385</v>
      </c>
      <c r="BU33" s="24"/>
      <c r="BV33" s="3"/>
      <c r="BW33" s="16"/>
      <c r="BX33" s="16"/>
      <c r="BY33" s="116" t="s">
        <v>1052</v>
      </c>
      <c r="BZ33" s="25">
        <v>145339.09065029258</v>
      </c>
      <c r="CA33" s="24"/>
      <c r="CB33" s="3"/>
      <c r="CC33" s="16"/>
      <c r="CD33" s="16"/>
      <c r="CE33" s="116" t="s">
        <v>1068</v>
      </c>
      <c r="CF33" s="25">
        <f t="shared" si="28"/>
        <v>40224.337306840374</v>
      </c>
      <c r="CG33" s="24"/>
      <c r="CH33" s="3"/>
      <c r="CI33" s="16"/>
      <c r="CJ33" s="59">
        <v>1.2767619993139085</v>
      </c>
      <c r="CK33" s="59"/>
      <c r="CL33" s="25">
        <f t="shared" si="34"/>
        <v>185563.42795713295</v>
      </c>
      <c r="CM33" s="24"/>
      <c r="CN33" s="3"/>
      <c r="CO33" s="16"/>
      <c r="CP33" s="16"/>
      <c r="CQ33" s="116" t="s">
        <v>1036</v>
      </c>
      <c r="CR33" s="25">
        <v>274828.218014054</v>
      </c>
      <c r="CS33" s="24"/>
      <c r="CT33" s="3"/>
      <c r="CU33" s="16"/>
      <c r="CV33" s="16"/>
      <c r="CW33" s="16"/>
      <c r="CX33" s="25">
        <f t="shared" si="29"/>
        <v>460391.64597118692</v>
      </c>
    </row>
    <row r="34" spans="2:102" x14ac:dyDescent="0.35">
      <c r="B34">
        <f t="shared" si="73"/>
        <v>2024</v>
      </c>
      <c r="C34" s="24">
        <f t="shared" si="74"/>
        <v>137501738.04243836</v>
      </c>
      <c r="E34" s="16">
        <f>IF($E$37=0,E66,E76)</f>
        <v>1.0589607729813864</v>
      </c>
      <c r="F34" s="16">
        <f t="shared" si="57"/>
        <v>1.3996989232302728</v>
      </c>
      <c r="G34" s="116" t="s">
        <v>1085</v>
      </c>
      <c r="H34" s="6">
        <f t="shared" si="82"/>
        <v>98236653.440517887</v>
      </c>
      <c r="I34" s="131">
        <f t="shared" si="20"/>
        <v>98236.653440517883</v>
      </c>
      <c r="J34" s="24">
        <f t="shared" si="75"/>
        <v>62319655.870958529</v>
      </c>
      <c r="L34" s="16">
        <f>IF($E$37=0,L66,L76)</f>
        <v>1.0739923663294739</v>
      </c>
      <c r="M34" s="16">
        <f t="shared" si="58"/>
        <v>1.5642925700984309</v>
      </c>
      <c r="N34" s="25">
        <f>IF($E$37=0,N66,N76)</f>
        <v>39838874.812936783</v>
      </c>
      <c r="O34" s="24">
        <f t="shared" si="83"/>
        <v>10883715.282361962</v>
      </c>
      <c r="Q34" s="16"/>
      <c r="R34" s="16"/>
      <c r="S34" s="25">
        <f t="shared" si="21"/>
        <v>7061476.1163554192</v>
      </c>
      <c r="T34" s="24">
        <f t="shared" si="76"/>
        <v>73203371.153320491</v>
      </c>
      <c r="V34" s="16">
        <f>IF($E$37=0,V66,V76)</f>
        <v>1.0742162865779985</v>
      </c>
      <c r="W34" s="16">
        <f t="shared" si="60"/>
        <v>1.5608277913247</v>
      </c>
      <c r="X34" s="25">
        <f>IF($E$37=0,X66,X76)</f>
        <v>46900350.929292202</v>
      </c>
      <c r="Y34" s="24">
        <f t="shared" si="22"/>
        <v>0</v>
      </c>
      <c r="Z34" s="3">
        <f t="shared" si="22"/>
        <v>0</v>
      </c>
      <c r="AA34" s="25">
        <f t="shared" si="23"/>
        <v>0</v>
      </c>
      <c r="AB34" s="24">
        <f t="shared" si="77"/>
        <v>49469922.072666951</v>
      </c>
      <c r="AD34" s="16">
        <f>IF($E$37=0,AD66,AD76)</f>
        <v>1.0744371733698603</v>
      </c>
      <c r="AE34" s="16">
        <f t="shared" si="61"/>
        <v>1.5480766331538114</v>
      </c>
      <c r="AF34" s="116" t="s">
        <v>632</v>
      </c>
      <c r="AG34" s="25">
        <f>IF($E$37=0,AG66,AG76)</f>
        <v>31955732.044016838</v>
      </c>
      <c r="AH34" s="24">
        <f t="shared" si="78"/>
        <v>25068482.53400458</v>
      </c>
      <c r="AJ34" s="16">
        <f>IF($E$37=0,AJ66,AJ76)</f>
        <v>1.1080152775376391</v>
      </c>
      <c r="AK34" s="16">
        <f t="shared" si="62"/>
        <v>1.8605394701367663</v>
      </c>
      <c r="AL34" s="116" t="s">
        <v>633</v>
      </c>
      <c r="AM34" s="25">
        <f>IF($E$37=0,AM66,AM76)</f>
        <v>13473770.880099535</v>
      </c>
      <c r="AN34" s="24">
        <f t="shared" si="79"/>
        <v>52693964.505724609</v>
      </c>
      <c r="AP34" s="16">
        <f>IF($E$37=0,AP66,AP76)</f>
        <v>1.0330439482366893</v>
      </c>
      <c r="AQ34" s="16">
        <f t="shared" si="63"/>
        <v>1.1612833679187509</v>
      </c>
      <c r="AR34" s="116" t="s">
        <v>634</v>
      </c>
      <c r="AS34" s="25">
        <f>IF($E$37=0,AS66,AS76)</f>
        <v>45375630.067071915</v>
      </c>
      <c r="AT34" s="24">
        <f t="shared" si="67"/>
        <v>54028997.959075645</v>
      </c>
      <c r="AV34" s="16">
        <f>IF($E$37=0,AV66,AV76)</f>
        <v>1.0429875024108828</v>
      </c>
      <c r="AW34" s="16">
        <f t="shared" si="64"/>
        <v>1.2037483183474722</v>
      </c>
      <c r="AX34" s="25">
        <f t="shared" si="24"/>
        <v>43904782.061896086</v>
      </c>
      <c r="AY34" s="24">
        <f t="shared" si="30"/>
        <v>73203371.153320491</v>
      </c>
      <c r="AZ34" s="3"/>
      <c r="BA34" s="16">
        <f>IF($E$37=0,BA66,BA76)</f>
        <v>1.0742162865779985</v>
      </c>
      <c r="BB34" s="16">
        <f t="shared" si="65"/>
        <v>1.5608277913247</v>
      </c>
      <c r="BC34" s="25">
        <f t="shared" si="25"/>
        <v>46900350.929292202</v>
      </c>
      <c r="BD34" s="24">
        <f t="shared" si="68"/>
        <v>73203371.153320491</v>
      </c>
      <c r="BE34" s="3">
        <f t="shared" si="69"/>
        <v>73203371.153320491</v>
      </c>
      <c r="BF34" s="3">
        <f t="shared" si="80"/>
        <v>0</v>
      </c>
      <c r="BG34" s="3">
        <f t="shared" si="70"/>
        <v>46900350.929292202</v>
      </c>
      <c r="BH34" s="3">
        <f t="shared" si="71"/>
        <v>46900350.929292202</v>
      </c>
      <c r="BI34" s="25">
        <f t="shared" si="26"/>
        <v>0</v>
      </c>
      <c r="BJ34" s="24">
        <f t="shared" si="72"/>
        <v>5433188.0952380858</v>
      </c>
      <c r="BK34" s="3">
        <f t="shared" si="81"/>
        <v>65440.952380955219</v>
      </c>
      <c r="BL34" s="3">
        <f t="shared" si="81"/>
        <v>-1321.2023809552193</v>
      </c>
      <c r="BM34" s="3">
        <f t="shared" si="81"/>
        <v>209313.78979592025</v>
      </c>
      <c r="BN34" s="3">
        <f t="shared" si="81"/>
        <v>237365.12380952379</v>
      </c>
      <c r="BO34" s="3">
        <f t="shared" si="81"/>
        <v>423183.10476190597</v>
      </c>
      <c r="BP34" s="3">
        <f t="shared" si="81"/>
        <v>908056.93639454246</v>
      </c>
      <c r="BQ34" s="3">
        <f t="shared" si="81"/>
        <v>1007593.7047619224</v>
      </c>
      <c r="BR34" s="6">
        <f>IF($E$37=0,BR66,BR76)</f>
        <v>8282820.5047619008</v>
      </c>
      <c r="BS34" s="44">
        <f t="shared" si="16"/>
        <v>25.307744851121878</v>
      </c>
      <c r="BT34" s="33">
        <f>IF($E$37=0,BT66,BT76)</f>
        <v>18.080848981948066</v>
      </c>
      <c r="BU34" s="24"/>
      <c r="BV34" s="3"/>
      <c r="BW34" s="16"/>
      <c r="BX34" s="16"/>
      <c r="BY34" s="116" t="s">
        <v>1053</v>
      </c>
      <c r="BZ34" s="25">
        <v>146870.36003174959</v>
      </c>
      <c r="CA34" s="24"/>
      <c r="CB34" s="3"/>
      <c r="CC34" s="16"/>
      <c r="CD34" s="16"/>
      <c r="CE34" s="116" t="s">
        <v>1069</v>
      </c>
      <c r="CF34" s="25">
        <f t="shared" si="28"/>
        <v>42003.128605485486</v>
      </c>
      <c r="CG34" s="24"/>
      <c r="CH34" s="3"/>
      <c r="CI34" s="16"/>
      <c r="CJ34" s="59">
        <v>1.2859877826704142</v>
      </c>
      <c r="CK34" s="59"/>
      <c r="CL34" s="25">
        <f t="shared" si="34"/>
        <v>188873.48863723507</v>
      </c>
      <c r="CM34" s="24"/>
      <c r="CN34" s="3"/>
      <c r="CO34" s="16"/>
      <c r="CP34" s="16"/>
      <c r="CQ34" s="116" t="s">
        <v>1037</v>
      </c>
      <c r="CR34" s="25">
        <v>279038.4370976761</v>
      </c>
      <c r="CS34" s="24"/>
      <c r="CT34" s="3"/>
      <c r="CU34" s="16"/>
      <c r="CV34" s="16"/>
      <c r="CW34" s="16"/>
      <c r="CX34" s="25">
        <f t="shared" si="29"/>
        <v>467911.92573491117</v>
      </c>
    </row>
    <row r="35" spans="2:102" ht="15" thickBot="1" x14ac:dyDescent="0.4">
      <c r="B35">
        <f t="shared" si="73"/>
        <v>2025</v>
      </c>
      <c r="C35" s="34">
        <f t="shared" si="74"/>
        <v>151601517.14593571</v>
      </c>
      <c r="D35" s="35"/>
      <c r="E35" s="36">
        <f>IF($E$37=0,E67,E77)</f>
        <v>1.0642540965138032</v>
      </c>
      <c r="F35" s="36">
        <f t="shared" si="57"/>
        <v>1.4896353129337772</v>
      </c>
      <c r="G35" s="118" t="s">
        <v>1086</v>
      </c>
      <c r="H35" s="38">
        <f t="shared" si="82"/>
        <v>101770893.74134304</v>
      </c>
      <c r="I35" s="133">
        <f t="shared" si="20"/>
        <v>101770.89374134304</v>
      </c>
      <c r="J35" s="34">
        <f t="shared" si="75"/>
        <v>69265839.797724783</v>
      </c>
      <c r="K35" s="35"/>
      <c r="L35" s="36">
        <f>IF($E$37=0,L67,L77)</f>
        <v>1.0796608982254376</v>
      </c>
      <c r="M35" s="36">
        <f t="shared" si="58"/>
        <v>1.6889055213198503</v>
      </c>
      <c r="N35" s="37">
        <f>IF($E$37=0,N67,N77)</f>
        <v>41012264.406356335</v>
      </c>
      <c r="O35" s="34">
        <f t="shared" si="83"/>
        <v>12058320.411339968</v>
      </c>
      <c r="P35" s="35"/>
      <c r="Q35" s="36"/>
      <c r="R35" s="36"/>
      <c r="S35" s="37">
        <f t="shared" si="21"/>
        <v>7234986.9334044456</v>
      </c>
      <c r="T35" s="34">
        <f t="shared" si="76"/>
        <v>81324160.209064752</v>
      </c>
      <c r="U35" s="35"/>
      <c r="V35" s="36">
        <f>IF($E$37=0,V67,V77)</f>
        <v>1.079921086974311</v>
      </c>
      <c r="W35" s="36">
        <f t="shared" si="60"/>
        <v>1.685570844987083</v>
      </c>
      <c r="X35" s="37">
        <f>IF($E$37=0,X67,X77)</f>
        <v>48247251.33976078</v>
      </c>
      <c r="Y35" s="34">
        <f t="shared" si="22"/>
        <v>0</v>
      </c>
      <c r="Z35" s="38">
        <f t="shared" si="22"/>
        <v>0</v>
      </c>
      <c r="AA35" s="37">
        <f t="shared" si="23"/>
        <v>0</v>
      </c>
      <c r="AB35" s="34">
        <f t="shared" si="77"/>
        <v>54905575.257740989</v>
      </c>
      <c r="AC35" s="35"/>
      <c r="AD35" s="36">
        <f>IF($E$37=0,AD67,AD77)</f>
        <v>1.0807249157367593</v>
      </c>
      <c r="AE35" s="36">
        <f t="shared" si="61"/>
        <v>1.6730449889191989</v>
      </c>
      <c r="AF35" s="118" t="s">
        <v>666</v>
      </c>
      <c r="AG35" s="37">
        <f>IF($E$37=0,AG67,AG77)</f>
        <v>32817751.836554289</v>
      </c>
      <c r="AH35" s="34">
        <f t="shared" si="78"/>
        <v>29311684.220534369</v>
      </c>
      <c r="AI35" s="35"/>
      <c r="AJ35" s="36">
        <f>IF($E$37=0,AJ67,AJ77)</f>
        <v>1.1162773585785892</v>
      </c>
      <c r="AK35" s="36">
        <f t="shared" si="62"/>
        <v>2.0768780852554776</v>
      </c>
      <c r="AL35" s="118" t="s">
        <v>667</v>
      </c>
      <c r="AM35" s="37">
        <f>IF($E$37=0,AM67,AM77)</f>
        <v>14113338.875607967</v>
      </c>
      <c r="AN35" s="34">
        <f t="shared" si="79"/>
        <v>56641882.875754103</v>
      </c>
      <c r="AO35" s="35"/>
      <c r="AP35" s="36">
        <f>IF($E$37=0,AP67,AP77)</f>
        <v>1.0370762506241684</v>
      </c>
      <c r="AQ35" s="36">
        <f t="shared" si="63"/>
        <v>1.2043394011133848</v>
      </c>
      <c r="AR35" s="118" t="s">
        <v>668</v>
      </c>
      <c r="AS35" s="37">
        <f>IF($E$37=0,AS67,AS77)</f>
        <v>47031495.293926239</v>
      </c>
      <c r="AT35" s="34">
        <f t="shared" si="67"/>
        <v>59534982.144964725</v>
      </c>
      <c r="AU35" s="35"/>
      <c r="AV35" s="36">
        <f>IF($E$37=0,AV67,AV77)</f>
        <v>1.048556185965893</v>
      </c>
      <c r="AW35" s="36">
        <f t="shared" si="64"/>
        <v>1.262197745549283</v>
      </c>
      <c r="AX35" s="37">
        <f t="shared" si="24"/>
        <v>45715334.666327715</v>
      </c>
      <c r="AY35" s="34">
        <f t="shared" si="30"/>
        <v>81324160.209064752</v>
      </c>
      <c r="AZ35" s="38"/>
      <c r="BA35" s="36">
        <f>IF($E$37=0,BA67,BA77)</f>
        <v>1.079921086974311</v>
      </c>
      <c r="BB35" s="36">
        <f t="shared" si="65"/>
        <v>1.685570844987083</v>
      </c>
      <c r="BC35" s="37">
        <f t="shared" si="25"/>
        <v>48247251.33976078</v>
      </c>
      <c r="BD35" s="34">
        <f t="shared" si="68"/>
        <v>81324160.209064752</v>
      </c>
      <c r="BE35" s="38">
        <f t="shared" si="69"/>
        <v>81324160.209064752</v>
      </c>
      <c r="BF35" s="38">
        <f t="shared" si="80"/>
        <v>0</v>
      </c>
      <c r="BG35" s="38">
        <f t="shared" si="70"/>
        <v>48247251.33976078</v>
      </c>
      <c r="BH35" s="38">
        <f t="shared" si="71"/>
        <v>48247251.33976078</v>
      </c>
      <c r="BI35" s="37">
        <f t="shared" si="26"/>
        <v>0</v>
      </c>
      <c r="BJ35" s="34">
        <f t="shared" si="72"/>
        <v>5575135.2380952202</v>
      </c>
      <c r="BK35" s="38">
        <f t="shared" si="81"/>
        <v>43052.380952380598</v>
      </c>
      <c r="BL35" s="38">
        <f t="shared" si="81"/>
        <v>-24242.214285716414</v>
      </c>
      <c r="BM35" s="38">
        <f t="shared" si="81"/>
        <v>222006.82806122676</v>
      </c>
      <c r="BN35" s="38">
        <f t="shared" si="81"/>
        <v>237375.8095238095</v>
      </c>
      <c r="BO35" s="38">
        <f t="shared" si="81"/>
        <v>392708.7619047612</v>
      </c>
      <c r="BP35" s="38">
        <f t="shared" si="81"/>
        <v>1016259.1957482994</v>
      </c>
      <c r="BQ35" s="38">
        <f t="shared" si="81"/>
        <v>807160.7619047761</v>
      </c>
      <c r="BR35" s="38">
        <f>IF($E$37=0,BR67,BR77)</f>
        <v>8269456.7619047575</v>
      </c>
      <c r="BS35" s="45">
        <f t="shared" si="16"/>
        <v>27.192437612998841</v>
      </c>
      <c r="BT35" s="39">
        <f>IF($E$37=0,BT67,BT77)</f>
        <v>18.254426017495803</v>
      </c>
      <c r="BU35" s="34"/>
      <c r="BV35" s="38"/>
      <c r="BW35" s="36"/>
      <c r="BX35" s="36"/>
      <c r="BY35" s="118" t="s">
        <v>1054</v>
      </c>
      <c r="BZ35" s="37">
        <v>148401.6294132066</v>
      </c>
      <c r="CA35" s="34"/>
      <c r="CB35" s="38"/>
      <c r="CC35" s="36"/>
      <c r="CD35" s="36"/>
      <c r="CE35" s="118" t="s">
        <v>1070</v>
      </c>
      <c r="CF35" s="37">
        <f t="shared" si="28"/>
        <v>43810.174223277631</v>
      </c>
      <c r="CG35" s="34"/>
      <c r="CH35" s="38"/>
      <c r="CI35" s="36"/>
      <c r="CJ35" s="79">
        <v>1.2952135660269164</v>
      </c>
      <c r="CK35" s="79"/>
      <c r="CL35" s="37">
        <f t="shared" si="34"/>
        <v>192211.80363648423</v>
      </c>
      <c r="CM35" s="34"/>
      <c r="CN35" s="38"/>
      <c r="CO35" s="36"/>
      <c r="CP35" s="36"/>
      <c r="CQ35" s="118" t="s">
        <v>1038</v>
      </c>
      <c r="CR35" s="37">
        <v>283248.6561812982</v>
      </c>
      <c r="CS35" s="34"/>
      <c r="CT35" s="38"/>
      <c r="CU35" s="36"/>
      <c r="CV35" s="36"/>
      <c r="CW35" s="36"/>
      <c r="CX35" s="37">
        <f t="shared" si="29"/>
        <v>475460.45981778239</v>
      </c>
    </row>
    <row r="36" spans="2:102" x14ac:dyDescent="0.35">
      <c r="E36" s="16"/>
      <c r="F36" s="16"/>
      <c r="G36" s="16"/>
      <c r="H36" s="3"/>
      <c r="I36" s="3"/>
      <c r="J36" s="3"/>
      <c r="L36" s="16"/>
      <c r="M36" s="16"/>
      <c r="N36" s="3"/>
      <c r="Q36" s="40"/>
      <c r="R36" s="40"/>
      <c r="S36" s="17"/>
      <c r="V36" s="16"/>
      <c r="W36" s="16"/>
      <c r="X36" s="3"/>
      <c r="Y36" s="3"/>
      <c r="Z36" s="3"/>
      <c r="AA36" s="3"/>
      <c r="AD36" s="16"/>
      <c r="AE36" s="16"/>
      <c r="AF36" s="16"/>
      <c r="AG36" s="3"/>
      <c r="AJ36" s="16"/>
      <c r="AK36" s="16"/>
      <c r="AL36" s="16"/>
      <c r="AM36" s="3"/>
      <c r="AP36" s="16"/>
      <c r="AQ36" s="16"/>
      <c r="AR36" s="16"/>
      <c r="AS36" s="3"/>
      <c r="AV36" s="16"/>
      <c r="AW36" s="16"/>
      <c r="AX36" s="3"/>
      <c r="AY36" s="3"/>
      <c r="AZ36" s="3"/>
      <c r="BA36" s="3"/>
      <c r="BB36" s="3"/>
      <c r="BC36" s="3"/>
      <c r="BF36" s="16"/>
      <c r="BG36" s="16"/>
      <c r="BH36" s="16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</row>
    <row r="37" spans="2:102" x14ac:dyDescent="0.35">
      <c r="B37" t="s">
        <v>63</v>
      </c>
      <c r="E37">
        <v>1</v>
      </c>
      <c r="F37" s="16"/>
      <c r="G37" s="16"/>
      <c r="H37" s="3" t="s">
        <v>1187</v>
      </c>
      <c r="I37" s="243">
        <f>((I35/I30)^(1/($B$35-$B$30))-1)*100</f>
        <v>4.2466899147538983</v>
      </c>
      <c r="L37" s="16"/>
      <c r="M37" s="3" t="s">
        <v>1187</v>
      </c>
      <c r="N37" s="243">
        <f>((N35/N30)^(1/($B$35-$B$30))-1)*100</f>
        <v>3.5051929582611274</v>
      </c>
      <c r="Q37" s="40"/>
      <c r="R37" s="3" t="s">
        <v>1187</v>
      </c>
      <c r="S37" s="243">
        <f>((S35/S30)^(1/($B$35-$B$30))-1)*100</f>
        <v>3.0320923518358578</v>
      </c>
      <c r="T37" s="3"/>
      <c r="V37" s="16"/>
      <c r="W37" s="3" t="s">
        <v>1187</v>
      </c>
      <c r="X37" s="243">
        <f>((X35/X30)^(1/($B$35-$B$30))-1)*100</f>
        <v>3.4334147496993372</v>
      </c>
      <c r="Y37" s="3"/>
      <c r="Z37" s="3"/>
      <c r="AA37" s="3"/>
      <c r="AD37" s="16"/>
      <c r="AE37" s="16"/>
      <c r="AF37" s="244" t="s">
        <v>1187</v>
      </c>
      <c r="AG37" s="243">
        <f>((AG35/AG30)^(1/($B$35-$B$30))-1)*100</f>
        <v>3.3065430305462717</v>
      </c>
      <c r="AJ37" s="16"/>
      <c r="AK37" s="16"/>
      <c r="AL37" s="244" t="s">
        <v>1187</v>
      </c>
      <c r="AM37" s="243">
        <f>((AM35/AM30)^(1/($B$35-$B$30))-1)*100</f>
        <v>6.4253538930059806</v>
      </c>
      <c r="AP37" s="16"/>
      <c r="AQ37" s="16"/>
      <c r="AR37" s="244" t="s">
        <v>1187</v>
      </c>
      <c r="AS37" s="243">
        <f>((AS35/AS30)^(1/($B$35-$B$30))-1)*100</f>
        <v>4.158101134056702</v>
      </c>
      <c r="AV37" s="16"/>
      <c r="AW37" s="16"/>
      <c r="AX37" s="3"/>
      <c r="AY37" s="3"/>
      <c r="AZ37" s="3"/>
      <c r="BA37" s="3"/>
      <c r="BB37" s="3" t="s">
        <v>1187</v>
      </c>
      <c r="BC37" s="243">
        <f>((BC35/BC30)^(1/($B$35-$B$30))-1)*100</f>
        <v>3.4334147496993372</v>
      </c>
      <c r="BF37" s="16"/>
      <c r="BG37" s="16"/>
      <c r="BH37" s="16"/>
      <c r="BI37" s="244" t="s">
        <v>1187</v>
      </c>
      <c r="BJ37" s="243">
        <f>((BJ35/BJ30)^(1/($B$35-$B$30))-1)*100</f>
        <v>1.8047116082362091</v>
      </c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244" t="s">
        <v>1187</v>
      </c>
      <c r="BZ37" s="243">
        <f>((BZ35/BZ30)^(1/($B$35-$B$30))-1)*100</f>
        <v>1.0650428488552022</v>
      </c>
      <c r="CA37" s="3"/>
      <c r="CB37" s="3"/>
      <c r="CC37" s="3"/>
      <c r="CD37" s="3"/>
      <c r="CE37" s="244" t="s">
        <v>1187</v>
      </c>
      <c r="CF37" s="243">
        <f>((CF35/CF30)^(1/($B$35-$B$30))-1)*100</f>
        <v>4.5583771541820139</v>
      </c>
      <c r="CG37" s="3"/>
      <c r="CH37" s="3"/>
      <c r="CI37" s="3"/>
      <c r="CJ37" s="3"/>
      <c r="CK37" s="244" t="s">
        <v>1187</v>
      </c>
      <c r="CL37" s="243">
        <f>((CL35/CL30)^(1/($B$35-$B$30))-1)*100</f>
        <v>1.8007241105031824</v>
      </c>
      <c r="CM37" s="3"/>
      <c r="CN37" s="3"/>
      <c r="CO37" s="3"/>
      <c r="CP37" s="3"/>
      <c r="CQ37" s="244" t="s">
        <v>1187</v>
      </c>
      <c r="CR37" s="243">
        <f>((CR35/CR30)^(1/($B$35-$B$30))-1)*100</f>
        <v>1.5565273786084965</v>
      </c>
      <c r="CS37" s="3"/>
      <c r="CT37" s="3"/>
      <c r="CU37" s="3"/>
      <c r="CV37" s="3"/>
      <c r="CW37" s="244" t="s">
        <v>1187</v>
      </c>
      <c r="CX37" s="243">
        <f>((CX35/CX30)^(1/($B$35-$B$30))-1)*100</f>
        <v>1.654824086272777</v>
      </c>
    </row>
    <row r="38" spans="2:102" x14ac:dyDescent="0.35">
      <c r="E38" s="16"/>
      <c r="F38" s="16"/>
      <c r="G38" s="16"/>
      <c r="H38" s="3"/>
      <c r="I38" s="3"/>
      <c r="J38" s="3"/>
      <c r="L38" s="16"/>
      <c r="M38" s="16"/>
      <c r="N38" s="3"/>
      <c r="Q38" s="40"/>
      <c r="R38" s="40"/>
      <c r="S38" s="17"/>
      <c r="V38" s="16"/>
      <c r="W38" s="16"/>
      <c r="X38" s="3"/>
      <c r="Y38" s="3"/>
      <c r="Z38" s="3"/>
      <c r="AA38" s="3"/>
      <c r="AD38" s="16"/>
      <c r="AE38" s="16"/>
      <c r="AF38" s="16"/>
      <c r="AG38" s="3"/>
      <c r="AJ38" s="16"/>
      <c r="AK38" s="16"/>
      <c r="AL38" s="16"/>
      <c r="AM38" s="3"/>
      <c r="AP38" s="16"/>
      <c r="AQ38" s="16"/>
      <c r="AR38" s="16"/>
      <c r="AS38" s="3"/>
      <c r="AV38" s="16"/>
      <c r="AW38" s="16"/>
      <c r="AX38" s="3"/>
      <c r="AY38" s="3"/>
      <c r="AZ38" s="3"/>
      <c r="BA38" s="3"/>
      <c r="BB38" s="3"/>
      <c r="BC38" s="3"/>
      <c r="BF38" s="16"/>
      <c r="BG38" s="16"/>
      <c r="BH38" s="16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 t="s">
        <v>1022</v>
      </c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</row>
    <row r="61" spans="2:102" x14ac:dyDescent="0.35">
      <c r="B61" s="3" t="s">
        <v>64</v>
      </c>
      <c r="E61">
        <v>0</v>
      </c>
    </row>
    <row r="63" spans="2:102" x14ac:dyDescent="0.35">
      <c r="B63">
        <v>2021</v>
      </c>
      <c r="C63" s="3"/>
      <c r="E63" s="16" cm="1">
        <f t="array" ref="E63:E67">TREND(E6:E30,$B$6:$B$30,$B$63:$B$67)</f>
        <v>0.98868304837904297</v>
      </c>
      <c r="F63" s="16" cm="1">
        <f t="array" ref="F63:F67">TREND(F6:F30,$B$6:$B$30,$B$63:$B$67)</f>
        <v>1.1890391489319541</v>
      </c>
      <c r="G63" s="16"/>
      <c r="H63" s="3"/>
      <c r="I63" s="3"/>
      <c r="L63" s="16" cm="1">
        <f t="array" ref="L63:L67">TREND(L6:L30,$B$6:$B$30,$B$63:$B$67)</f>
        <v>0.99337547872179854</v>
      </c>
      <c r="N63" s="3" cm="1">
        <f t="array" ref="N63:N67">TREND(N5:N30,$B$5:$B$30,$B$63:$B$67)</f>
        <v>33984410.273249626</v>
      </c>
      <c r="Q63" s="16"/>
      <c r="S63" s="3"/>
      <c r="V63" s="16" cm="1">
        <f t="array" ref="V63:V67">TREND(V6:V30,$B$6:$B$30,$B$63:$B$67)</f>
        <v>0.99578566625785925</v>
      </c>
      <c r="X63" s="3" cm="1">
        <f t="array" ref="X63:X67">TREND(X5:X30,$B$5:$B$30,$B$63:$B$67)</f>
        <v>40287539.636474848</v>
      </c>
      <c r="Y63" s="3"/>
      <c r="Z63" s="3"/>
      <c r="AA63" s="3"/>
      <c r="AD63" s="16" cm="1">
        <f t="array" ref="AD63:AD67">TREND(AD6:AD30,$B$6:$B$30,$B$63:$B$67)</f>
        <v>0.99026624368186766</v>
      </c>
      <c r="AG63" s="3" cm="1">
        <f t="array" ref="AG63:AG67">TREND(AG5:AG30,$B$5:$B$30,$B$63:$B$67)</f>
        <v>27703278.237387896</v>
      </c>
      <c r="AJ63" s="16" cm="1">
        <f t="array" ref="AJ63:AJ67">TREND(AJ6:AJ30,$B$6:$B$30,$B$63:$B$67)</f>
        <v>1.0250195021854571</v>
      </c>
      <c r="AM63" s="3" cm="1">
        <f t="array" ref="AM63:AM67">TREND(AM5:AM30,$B$5:$B$30,$B$63:$B$67)</f>
        <v>9512268.0511884093</v>
      </c>
      <c r="AP63" s="16" cm="1">
        <f t="array" ref="AP63:AP67">TREND(AP6:AP30,$B$6:$B$30,$B$63:$B$67)</f>
        <v>0.97400755342970591</v>
      </c>
      <c r="AS63" s="3" cm="1">
        <f t="array" ref="AS63:AS67">TREND(AS5:AS30,$B$5:$B$30,$B$63:$B$67)</f>
        <v>39143018.404233932</v>
      </c>
      <c r="AV63" s="16" cm="1">
        <f t="array" ref="AV63:AV67">TREND(AV6:AV30,$B$6:$B$30,$B$63:$B$67)</f>
        <v>0.97591148554177387</v>
      </c>
      <c r="AX63" s="3" cm="1">
        <f t="array" ref="AX63:AX67">TREND(AX5:AX30,$B$5:$B$30,$B$63:$B$67)</f>
        <v>36071025.056335926</v>
      </c>
      <c r="AY63" s="3"/>
      <c r="AZ63" s="3"/>
      <c r="BA63" s="16" cm="1">
        <f t="array" ref="BA63:BA67">TREND(BA6:BA30,$B$6:$B$30,$B$63:$B$67)</f>
        <v>0.99578566625785925</v>
      </c>
      <c r="BC63" s="3" cm="1">
        <f t="array" ref="BC63:BC67">TREND(BC5:BC30,$B$5:$B$30,$B$63:$B$67)</f>
        <v>40287539.636474848</v>
      </c>
      <c r="BD63" s="3"/>
      <c r="BF63" s="16"/>
      <c r="BG63" s="16"/>
      <c r="BI63" s="3"/>
      <c r="BJ63" s="3"/>
      <c r="BK63" s="3" cm="1">
        <f t="array" ref="BK63:BK67">TREND(BK5:BK30,$B$5:$B$30,$B$63:$B$67)</f>
        <v>272160.30769230798</v>
      </c>
      <c r="BL63" s="3" cm="1">
        <f t="array" ref="BL63:BL67">TREND(BL5:BL30,$B$5:$B$30,$B$63:$B$67)</f>
        <v>79196.13418803364</v>
      </c>
      <c r="BM63" s="3" cm="1">
        <f t="array" ref="BM63:BM67">TREND(BM5:BM30,$B$5:$B$30,$B$63:$B$67)</f>
        <v>137954.27115384676</v>
      </c>
      <c r="BN63" s="3" cm="1">
        <f t="array" ref="BN63:BN67">TREND(BN5:BN30,$B$5:$B$30,$B$63:$B$67)</f>
        <v>234897.40307692252</v>
      </c>
      <c r="BO63" s="3" cm="1">
        <f t="array" ref="BO63:BO67">TREND(BO5:BO30,$B$5:$B$30,$B$63:$B$67)</f>
        <v>664909.88307692297</v>
      </c>
      <c r="BP63" s="3" cm="1">
        <f t="array" ref="BP63:BP67">TREND(BP5:BP30,$B$5:$B$30,$B$63:$B$67)</f>
        <v>255781.90235042572</v>
      </c>
      <c r="BQ63" s="3" cm="1">
        <f t="array" ref="BQ63:BQ67">TREND(BQ5:BQ30,$B$5:$B$30,$B$63:$B$67)</f>
        <v>2338613.7476923019</v>
      </c>
      <c r="BR63" s="3" cm="1">
        <f t="array" ref="BR63:BR67">TREND(BR5:BR30,$B$5:$B$30,$B$63:$B$67)</f>
        <v>8432800.4184615389</v>
      </c>
      <c r="BS63" s="3"/>
      <c r="BT63" s="3" cm="1">
        <f t="array" ref="BT63:BT67">TREND(BT5:BT30,$B$5:$B$30,$B$63:$B$67)</f>
        <v>18.926966567581985</v>
      </c>
      <c r="BU63" s="3"/>
      <c r="BV63" s="3"/>
      <c r="BW63" s="16"/>
      <c r="BX63" s="16"/>
      <c r="BY63" s="16"/>
      <c r="BZ63" s="3"/>
      <c r="CA63" s="3"/>
      <c r="CB63" s="3"/>
      <c r="CC63" s="16"/>
      <c r="CD63" s="16"/>
      <c r="CE63" s="16"/>
      <c r="CF63" s="3"/>
      <c r="CG63" s="3"/>
      <c r="CH63" s="3"/>
      <c r="CI63" s="16"/>
      <c r="CJ63" s="16"/>
      <c r="CK63" s="16"/>
      <c r="CL63" s="3"/>
      <c r="CM63" s="3"/>
      <c r="CN63" s="3"/>
      <c r="CO63" s="16"/>
      <c r="CP63" s="16"/>
      <c r="CQ63" s="16"/>
      <c r="CR63" s="3"/>
      <c r="CS63" s="3"/>
      <c r="CT63" s="3"/>
      <c r="CU63" s="16"/>
      <c r="CV63" s="16"/>
      <c r="CW63" s="16"/>
      <c r="CX63" s="3"/>
    </row>
    <row r="64" spans="2:102" x14ac:dyDescent="0.35">
      <c r="B64">
        <v>2022</v>
      </c>
      <c r="C64" s="3"/>
      <c r="E64" s="16">
        <v>0.98387833619672982</v>
      </c>
      <c r="F64" s="16">
        <v>1.2166055861005631</v>
      </c>
      <c r="G64" s="16"/>
      <c r="H64" s="3"/>
      <c r="I64" s="3"/>
      <c r="L64" s="16">
        <v>0.98800495272092981</v>
      </c>
      <c r="N64" s="3">
        <v>34574558.73731041</v>
      </c>
      <c r="Q64" s="16"/>
      <c r="S64" s="3"/>
      <c r="V64" s="16">
        <v>0.99053229433079082</v>
      </c>
      <c r="X64" s="3">
        <v>40971335.942000866</v>
      </c>
      <c r="Y64" s="3"/>
      <c r="Z64" s="3"/>
      <c r="AA64" s="3"/>
      <c r="AD64" s="16">
        <v>0.98456800298788139</v>
      </c>
      <c r="AG64" s="3">
        <v>28092965.47775197</v>
      </c>
      <c r="AJ64" s="16">
        <v>1.0215882653305854</v>
      </c>
      <c r="AM64" s="3">
        <v>9609106.8489092886</v>
      </c>
      <c r="AP64" s="16">
        <v>0.96955293247956043</v>
      </c>
      <c r="AS64" s="3">
        <v>40528547.774040699</v>
      </c>
      <c r="AV64" s="16">
        <v>0.97150028870171745</v>
      </c>
      <c r="AX64" s="3">
        <v>37259284.15870142</v>
      </c>
      <c r="AY64" s="3"/>
      <c r="AZ64" s="3"/>
      <c r="BA64" s="16">
        <v>0.99053229433079082</v>
      </c>
      <c r="BC64" s="3">
        <v>40971335.942000866</v>
      </c>
      <c r="BD64" s="3"/>
      <c r="BF64" s="16"/>
      <c r="BG64" s="16"/>
      <c r="BI64" s="3"/>
      <c r="BJ64" s="3"/>
      <c r="BK64" s="3">
        <v>269146.25641025603</v>
      </c>
      <c r="BL64" s="3">
        <v>60849.742260210216</v>
      </c>
      <c r="BM64" s="3">
        <v>142299.64527879469</v>
      </c>
      <c r="BN64" s="3">
        <v>232374.20786324702</v>
      </c>
      <c r="BO64" s="3">
        <v>660726.00547008403</v>
      </c>
      <c r="BP64" s="3">
        <v>264898.98852936924</v>
      </c>
      <c r="BQ64" s="3">
        <v>2317759.076581195</v>
      </c>
      <c r="BR64" s="3">
        <v>8431609.2557264976</v>
      </c>
      <c r="BS64" s="3"/>
      <c r="BT64" s="3">
        <v>19.255630030997736</v>
      </c>
      <c r="BU64" s="3"/>
      <c r="BV64" s="3"/>
      <c r="BW64" s="16"/>
      <c r="BX64" s="16"/>
      <c r="BY64" s="16"/>
      <c r="BZ64" s="3"/>
      <c r="CA64" s="3"/>
      <c r="CB64" s="3"/>
      <c r="CC64" s="16"/>
      <c r="CD64" s="16"/>
      <c r="CE64" s="16"/>
      <c r="CF64" s="3"/>
      <c r="CG64" s="3"/>
      <c r="CH64" s="3"/>
      <c r="CI64" s="16"/>
      <c r="CJ64" s="16"/>
      <c r="CK64" s="16"/>
      <c r="CL64" s="3"/>
      <c r="CM64" s="3"/>
      <c r="CN64" s="3"/>
      <c r="CO64" s="16"/>
      <c r="CP64" s="16"/>
      <c r="CQ64" s="16"/>
      <c r="CR64" s="3"/>
      <c r="CS64" s="3"/>
      <c r="CT64" s="3"/>
      <c r="CU64" s="16"/>
      <c r="CV64" s="16"/>
      <c r="CW64" s="16"/>
      <c r="CX64" s="3"/>
    </row>
    <row r="65" spans="2:102" x14ac:dyDescent="0.35">
      <c r="B65">
        <v>2023</v>
      </c>
      <c r="C65" s="3"/>
      <c r="E65" s="16">
        <v>0.97907362401441844</v>
      </c>
      <c r="F65" s="16">
        <v>1.2441720232691651</v>
      </c>
      <c r="G65" s="16"/>
      <c r="H65" s="3"/>
      <c r="I65" s="3"/>
      <c r="L65" s="16">
        <v>0.9826344267200593</v>
      </c>
      <c r="N65" s="3">
        <v>35164707.201371431</v>
      </c>
      <c r="Q65" s="16"/>
      <c r="S65" s="3"/>
      <c r="V65" s="16">
        <v>0.98527892240372061</v>
      </c>
      <c r="X65" s="3">
        <v>41655132.247527122</v>
      </c>
      <c r="Y65" s="3"/>
      <c r="Z65" s="3"/>
      <c r="AA65" s="3"/>
      <c r="AD65" s="16">
        <v>0.97886976229389688</v>
      </c>
      <c r="AG65" s="3">
        <v>28482652.718116045</v>
      </c>
      <c r="AJ65" s="16">
        <v>1.0181570284757129</v>
      </c>
      <c r="AM65" s="3">
        <v>9705945.6466301382</v>
      </c>
      <c r="AP65" s="16">
        <v>0.96509831152941494</v>
      </c>
      <c r="AS65" s="3">
        <v>41914077.143847466</v>
      </c>
      <c r="AV65" s="16">
        <v>0.96708909186166103</v>
      </c>
      <c r="AX65" s="3">
        <v>38447543.261066914</v>
      </c>
      <c r="AY65" s="3"/>
      <c r="AZ65" s="3"/>
      <c r="BA65" s="16">
        <v>0.98527892240372061</v>
      </c>
      <c r="BC65" s="3">
        <v>41655132.247527122</v>
      </c>
      <c r="BD65" s="3"/>
      <c r="BF65" s="16"/>
      <c r="BG65" s="16"/>
      <c r="BI65" s="3"/>
      <c r="BJ65" s="3"/>
      <c r="BK65" s="3">
        <v>266132.20512820501</v>
      </c>
      <c r="BL65" s="3">
        <v>42503.350332386792</v>
      </c>
      <c r="BM65" s="3">
        <v>146645.01940374449</v>
      </c>
      <c r="BN65" s="3">
        <v>229851.01264957152</v>
      </c>
      <c r="BO65" s="3">
        <v>656542.12786324695</v>
      </c>
      <c r="BP65" s="3">
        <v>274016.07470831275</v>
      </c>
      <c r="BQ65" s="3">
        <v>2296904.4054700807</v>
      </c>
      <c r="BR65" s="3">
        <v>8430418.0929914545</v>
      </c>
      <c r="BS65" s="3"/>
      <c r="BT65" s="3">
        <v>19.5842934944136</v>
      </c>
      <c r="BU65" s="3"/>
      <c r="BV65" s="3"/>
      <c r="BW65" s="16"/>
      <c r="BX65" s="16"/>
      <c r="BY65" s="16"/>
      <c r="BZ65" s="3"/>
      <c r="CA65" s="3"/>
      <c r="CB65" s="3"/>
      <c r="CC65" s="16"/>
      <c r="CD65" s="16"/>
      <c r="CE65" s="16"/>
      <c r="CF65" s="3"/>
      <c r="CG65" s="3"/>
      <c r="CH65" s="3"/>
      <c r="CI65" s="16"/>
      <c r="CJ65" s="16"/>
      <c r="CK65" s="16"/>
      <c r="CL65" s="3"/>
      <c r="CM65" s="3"/>
      <c r="CN65" s="3"/>
      <c r="CO65" s="16"/>
      <c r="CP65" s="16"/>
      <c r="CQ65" s="16"/>
      <c r="CR65" s="3"/>
      <c r="CS65" s="3"/>
      <c r="CT65" s="3"/>
      <c r="CU65" s="16"/>
      <c r="CV65" s="16"/>
      <c r="CW65" s="16"/>
      <c r="CX65" s="3"/>
    </row>
    <row r="66" spans="2:102" x14ac:dyDescent="0.35">
      <c r="B66">
        <v>2024</v>
      </c>
      <c r="C66" s="3"/>
      <c r="E66" s="16">
        <v>0.97426891183210529</v>
      </c>
      <c r="F66" s="16">
        <v>1.2717384604377742</v>
      </c>
      <c r="G66" s="16"/>
      <c r="H66" s="3"/>
      <c r="I66" s="3"/>
      <c r="L66" s="16">
        <v>0.97726390071919056</v>
      </c>
      <c r="N66" s="3">
        <v>35754855.665432215</v>
      </c>
      <c r="Q66" s="16"/>
      <c r="S66" s="3"/>
      <c r="V66" s="16">
        <v>0.98002555047665219</v>
      </c>
      <c r="X66" s="3">
        <v>42338928.553053141</v>
      </c>
      <c r="Y66" s="3"/>
      <c r="Z66" s="3"/>
      <c r="AA66" s="3"/>
      <c r="AD66" s="16">
        <v>0.97317152159991238</v>
      </c>
      <c r="AG66" s="3">
        <v>28872339.958480239</v>
      </c>
      <c r="AJ66" s="16">
        <v>1.0147257916208412</v>
      </c>
      <c r="AM66" s="3">
        <v>9802784.4443509877</v>
      </c>
      <c r="AP66" s="16">
        <v>0.96064369057926946</v>
      </c>
      <c r="AS66" s="3">
        <v>43299606.513654232</v>
      </c>
      <c r="AV66" s="16">
        <v>0.96267789502160461</v>
      </c>
      <c r="AX66" s="3">
        <v>39635802.363432407</v>
      </c>
      <c r="AY66" s="3"/>
      <c r="AZ66" s="3"/>
      <c r="BA66" s="16">
        <v>0.98002555047665219</v>
      </c>
      <c r="BC66" s="3">
        <v>42338928.553053141</v>
      </c>
      <c r="BD66" s="3"/>
      <c r="BF66" s="16"/>
      <c r="BG66" s="16"/>
      <c r="BI66" s="3"/>
      <c r="BJ66" s="3"/>
      <c r="BK66" s="3">
        <v>263118.15384615399</v>
      </c>
      <c r="BL66" s="3">
        <v>24156.958404555917</v>
      </c>
      <c r="BM66" s="3">
        <v>150990.39352869429</v>
      </c>
      <c r="BN66" s="3">
        <v>227327.81743589696</v>
      </c>
      <c r="BO66" s="3">
        <v>652358.25025640987</v>
      </c>
      <c r="BP66" s="3">
        <v>283133.16088725999</v>
      </c>
      <c r="BQ66" s="3">
        <v>2276049.7343589738</v>
      </c>
      <c r="BR66" s="3">
        <v>8429226.9302564114</v>
      </c>
      <c r="BS66" s="3"/>
      <c r="BT66" s="3">
        <v>19.912956957829351</v>
      </c>
      <c r="BU66" s="3"/>
      <c r="BV66" s="3"/>
      <c r="BW66" s="16"/>
      <c r="BX66" s="16"/>
      <c r="BY66" s="16"/>
      <c r="BZ66" s="3"/>
      <c r="CA66" s="3"/>
      <c r="CB66" s="3"/>
      <c r="CC66" s="16"/>
      <c r="CD66" s="16"/>
      <c r="CE66" s="16"/>
      <c r="CF66" s="3"/>
      <c r="CG66" s="3"/>
      <c r="CH66" s="3"/>
      <c r="CI66" s="16"/>
      <c r="CJ66" s="16"/>
      <c r="CK66" s="16"/>
      <c r="CL66" s="3"/>
      <c r="CM66" s="3"/>
      <c r="CN66" s="3"/>
      <c r="CO66" s="16"/>
      <c r="CP66" s="16"/>
      <c r="CQ66" s="16"/>
      <c r="CR66" s="3"/>
      <c r="CS66" s="3"/>
      <c r="CT66" s="3"/>
      <c r="CU66" s="16"/>
      <c r="CV66" s="16"/>
      <c r="CW66" s="16"/>
      <c r="CX66" s="3"/>
    </row>
    <row r="67" spans="2:102" x14ac:dyDescent="0.35">
      <c r="B67">
        <v>2025</v>
      </c>
      <c r="C67" s="3"/>
      <c r="E67" s="16">
        <v>0.96946419964979214</v>
      </c>
      <c r="F67" s="16">
        <v>1.2993048976063832</v>
      </c>
      <c r="G67" s="16"/>
      <c r="H67" s="3"/>
      <c r="I67" s="3"/>
      <c r="L67" s="16">
        <v>0.97189337471832005</v>
      </c>
      <c r="N67" s="3">
        <v>36345004.129492998</v>
      </c>
      <c r="Q67" s="16"/>
      <c r="S67" s="3"/>
      <c r="V67" s="16">
        <v>0.97477217854958198</v>
      </c>
      <c r="X67" s="3">
        <v>43022724.858579397</v>
      </c>
      <c r="Y67" s="3"/>
      <c r="Z67" s="3"/>
      <c r="AA67" s="3"/>
      <c r="AD67" s="16">
        <v>0.9674732809059261</v>
      </c>
      <c r="AG67" s="3">
        <v>29262027.198844314</v>
      </c>
      <c r="AJ67" s="16">
        <v>1.0112945547659686</v>
      </c>
      <c r="AM67" s="3">
        <v>9899623.2420718372</v>
      </c>
      <c r="AP67" s="16">
        <v>0.95618906962912398</v>
      </c>
      <c r="AS67" s="3">
        <v>44685135.883460999</v>
      </c>
      <c r="AV67" s="16">
        <v>0.95826669818154819</v>
      </c>
      <c r="AX67" s="3">
        <v>40824061.465798378</v>
      </c>
      <c r="AY67" s="3"/>
      <c r="AZ67" s="3"/>
      <c r="BA67" s="16">
        <v>0.97477217854958198</v>
      </c>
      <c r="BC67" s="3">
        <v>43022724.858579397</v>
      </c>
      <c r="BD67" s="3"/>
      <c r="BF67" s="16"/>
      <c r="BG67" s="16"/>
      <c r="BI67" s="3"/>
      <c r="BJ67" s="3"/>
      <c r="BK67" s="3">
        <v>260104.10256410204</v>
      </c>
      <c r="BL67" s="3">
        <v>5810.5664767324924</v>
      </c>
      <c r="BM67" s="3">
        <v>155335.76765364222</v>
      </c>
      <c r="BN67" s="3">
        <v>224804.62222222146</v>
      </c>
      <c r="BO67" s="3">
        <v>648174.37264957279</v>
      </c>
      <c r="BP67" s="3">
        <v>292250.2470662035</v>
      </c>
      <c r="BQ67" s="3">
        <v>2255195.0632478595</v>
      </c>
      <c r="BR67" s="3">
        <v>8428035.7675213683</v>
      </c>
      <c r="BS67" s="3"/>
      <c r="BT67" s="3">
        <v>20.241620421245216</v>
      </c>
      <c r="BU67" s="3"/>
      <c r="BV67" s="3"/>
      <c r="BW67" s="16"/>
      <c r="BX67" s="16"/>
      <c r="BY67" s="16"/>
      <c r="BZ67" s="3"/>
      <c r="CA67" s="3"/>
      <c r="CB67" s="3"/>
      <c r="CC67" s="16"/>
      <c r="CD67" s="16"/>
      <c r="CE67" s="16"/>
      <c r="CF67" s="3"/>
      <c r="CG67" s="3"/>
      <c r="CH67" s="3"/>
      <c r="CI67" s="16"/>
      <c r="CJ67" s="16"/>
      <c r="CK67" s="16"/>
      <c r="CL67" s="3"/>
      <c r="CM67" s="3"/>
      <c r="CN67" s="3"/>
      <c r="CO67" s="16"/>
      <c r="CP67" s="16"/>
      <c r="CQ67" s="16"/>
      <c r="CR67" s="3"/>
      <c r="CS67" s="3"/>
      <c r="CT67" s="3"/>
      <c r="CU67" s="16"/>
      <c r="CV67" s="16"/>
      <c r="CW67" s="16"/>
      <c r="CX67" s="3"/>
    </row>
    <row r="68" spans="2:102" x14ac:dyDescent="0.35">
      <c r="BD68" s="3"/>
    </row>
    <row r="69" spans="2:102" x14ac:dyDescent="0.35">
      <c r="B69" t="s">
        <v>65</v>
      </c>
      <c r="C69" s="3"/>
      <c r="H69" s="41"/>
      <c r="I69" s="41"/>
      <c r="N69" s="41">
        <f>100*((N67/N30)^(1/($B$67-$B$30))-1)</f>
        <v>1.0341830378425954</v>
      </c>
      <c r="S69" s="41"/>
      <c r="X69" s="41">
        <f>100*((X67/X30)^(1/($B$67-$B$30))-1)</f>
        <v>1.0894724300463121</v>
      </c>
      <c r="Y69" s="41"/>
      <c r="Z69" s="41"/>
      <c r="AA69" s="41"/>
      <c r="AG69" s="41">
        <f>100*((AG67/AG30)^(1/($B$67-$B$30))-1)</f>
        <v>0.9640923750119601</v>
      </c>
      <c r="AM69" s="41">
        <f>100*((AM67/AM30)^(1/($B$67-$B$30))-1)</f>
        <v>-0.86137699925731281</v>
      </c>
      <c r="AS69" s="41">
        <f>100*((AS67/AS30)^(1/($B$67-$B$30))-1)</f>
        <v>3.0974474979418076</v>
      </c>
      <c r="AX69" s="41">
        <f>100*((AX67/AX30)^(1/($B$67-$B$30))-1)</f>
        <v>2.6390642964276401</v>
      </c>
      <c r="AY69" s="41"/>
      <c r="AZ69" s="41"/>
      <c r="BC69" s="41">
        <f>100*((BC67/BC30)^(1/($B$67-$B$30))-1)</f>
        <v>1.0894724300463121</v>
      </c>
      <c r="BD69" s="3"/>
      <c r="BI69" s="41"/>
      <c r="BJ69" s="41"/>
      <c r="BK69" s="41">
        <f t="shared" ref="BK69:BQ69" si="84">100*((BK67/BK30)^(1/($B$67-$B$30))-1)</f>
        <v>5.395833161086161</v>
      </c>
      <c r="BL69" s="41">
        <f t="shared" si="84"/>
        <v>-43.396446718013848</v>
      </c>
      <c r="BM69" s="41">
        <f t="shared" si="84"/>
        <v>-4.9289491196472301</v>
      </c>
      <c r="BN69" s="41">
        <f t="shared" si="84"/>
        <v>-2.1021744583855417</v>
      </c>
      <c r="BO69" s="41">
        <f t="shared" si="84"/>
        <v>5.3281291667288233</v>
      </c>
      <c r="BP69" s="41">
        <f t="shared" si="84"/>
        <v>-17.179332823109796</v>
      </c>
      <c r="BQ69" s="41">
        <f t="shared" si="84"/>
        <v>12.526502319909749</v>
      </c>
      <c r="BR69" s="41">
        <f>100*((BR67/BR30)^(1/($B$67-$B$30))-1)</f>
        <v>0.1905611559636311</v>
      </c>
      <c r="BS69" s="41"/>
      <c r="BT69" s="41">
        <f>100*((BT67/BT30)^(1/($B$67-$B$30))-1)</f>
        <v>4.5369476136359221</v>
      </c>
      <c r="BU69" s="41"/>
      <c r="BV69" s="41"/>
      <c r="BZ69" s="41"/>
      <c r="CA69" s="41"/>
      <c r="CB69" s="41"/>
      <c r="CF69" s="41"/>
      <c r="CG69" s="41"/>
      <c r="CH69" s="41"/>
      <c r="CL69" s="41"/>
      <c r="CM69" s="41"/>
      <c r="CN69" s="41"/>
      <c r="CR69" s="41"/>
      <c r="CS69" s="41"/>
      <c r="CT69" s="41"/>
      <c r="CX69" s="41"/>
    </row>
    <row r="70" spans="2:102" x14ac:dyDescent="0.35">
      <c r="BD70" s="3"/>
    </row>
    <row r="71" spans="2:102" x14ac:dyDescent="0.35">
      <c r="B71" t="s">
        <v>66</v>
      </c>
      <c r="E71">
        <v>1</v>
      </c>
      <c r="BD71" s="3"/>
    </row>
    <row r="72" spans="2:102" x14ac:dyDescent="0.35">
      <c r="BD72" s="3"/>
    </row>
    <row r="73" spans="2:102" x14ac:dyDescent="0.35">
      <c r="B73">
        <f>B63</f>
        <v>2021</v>
      </c>
      <c r="E73" s="16" cm="1">
        <f t="array" ref="E73:E77">TREND(E25:E30,$B$25:$B$30,$B$31:$B$35)</f>
        <v>1.0430808023841358</v>
      </c>
      <c r="F73" s="16" cm="1">
        <f t="array" ref="F73:F77">TREND(F25:F30,$B$25:$B$30,$B$31:$B$35)</f>
        <v>1.1750175335232669</v>
      </c>
      <c r="G73" s="16"/>
      <c r="H73" s="3"/>
      <c r="I73" s="3"/>
      <c r="L73" s="16" cm="1">
        <f t="array" ref="L73:L77">TREND(L25:L30,$B$25:$B$30,$B$31:$B$35)</f>
        <v>1.0569867706415828</v>
      </c>
      <c r="N73" s="3" cm="1">
        <f t="array" ref="N73:N77">TREND(N25:N30,$B$25:$B$30,$B$31:$B$35)</f>
        <v>36318706.03267765</v>
      </c>
      <c r="V73" s="16" cm="1">
        <f t="array" ref="V73:V77">TREND(V25:V30,$B$25:$B$30,$B$31:$B$35)</f>
        <v>1.057101885389061</v>
      </c>
      <c r="X73" s="3" cm="1">
        <f t="array" ref="X73:X77">TREND(X25:X30,$B$25:$B$30,$B$31:$B$35)</f>
        <v>42859649.697886944</v>
      </c>
      <c r="AD73" s="16" cm="1">
        <f t="array" ref="AD73:AD77">TREND(AD25:AD30,$B$25:$B$30,$B$31:$B$35)</f>
        <v>1.0555739462691633</v>
      </c>
      <c r="AG73" s="3" cm="1">
        <f t="array" ref="AG73:AG77">TREND(AG25:AG30,$B$25:$B$30,$B$31:$B$35)</f>
        <v>29369672.666405201</v>
      </c>
      <c r="AJ73" s="16" cm="1">
        <f t="array" ref="AJ73:AJ77">TREND(AJ25:AJ30,$B$25:$B$30,$B$31:$B$35)</f>
        <v>1.083229034414785</v>
      </c>
      <c r="AM73" s="3" cm="1">
        <f t="array" ref="AM73:AM77">TREND(AM25:AM30,$B$25:$B$30,$B$31:$B$35)</f>
        <v>11555066.893573999</v>
      </c>
      <c r="AP73" s="16" cm="1">
        <f t="array" ref="AP73:AP77">TREND(AP25:AP30,$B$25:$B$30,$B$31:$B$35)</f>
        <v>1.0209470410742467</v>
      </c>
      <c r="AS73" s="3" cm="1">
        <f t="array" ref="AS73:AS77">TREND(AS25:AS30,$B$25:$B$30,$B$31:$B$35)</f>
        <v>40408034.386508942</v>
      </c>
      <c r="AV73" s="16" cm="1">
        <f t="array" ref="AV73:AV77">TREND(AV25:AV30,$B$25:$B$30,$B$31:$B$35)</f>
        <v>1.0262814517458487</v>
      </c>
      <c r="AX73" s="3" cm="1">
        <f t="array" ref="AX73:AX77">TREND(AX25:AX30,$B$25:$B$30,$B$31:$B$35)</f>
        <v>38473124.24860096</v>
      </c>
      <c r="BA73" s="16" cm="1">
        <f t="array" ref="BA73:BA77">TREND(BA25:BA30,$B$25:$B$30,$B$31:$B$35)</f>
        <v>1.057101885389061</v>
      </c>
      <c r="BC73" s="3" cm="1">
        <f t="array" ref="BC73:BC77">TREND(BC25:BC30,$B$25:$B$30,$B$31:$B$35)</f>
        <v>42859649.697886944</v>
      </c>
      <c r="BD73" s="3"/>
      <c r="BK73" s="3" cm="1">
        <f t="array" ref="BK73:BK77">TREND(BK25:BK30,$B$25:$B$30,$B$31:$B$35)</f>
        <v>132606.66666666418</v>
      </c>
      <c r="BL73" s="3" cm="1">
        <f t="array" ref="BL73:BL77">TREND(BL25:BL30,$B$25:$B$30,$B$31:$B$35)</f>
        <v>67441.833333335817</v>
      </c>
      <c r="BM73" s="3" cm="1">
        <f t="array" ref="BM73:BM77">TREND(BM25:BM30,$B$25:$B$30,$B$31:$B$35)</f>
        <v>171234.67500000075</v>
      </c>
      <c r="BN73" s="3" cm="1">
        <f t="array" ref="BN73:BN77">TREND(BN25:BN30,$B$25:$B$30,$B$31:$B$35)</f>
        <v>237333.06666666665</v>
      </c>
      <c r="BO73" s="3" cm="1">
        <f t="array" ref="BO73:BO77">TREND(BO25:BO30,$B$25:$B$30,$B$31:$B$35)</f>
        <v>514606.13333333284</v>
      </c>
      <c r="BP73" s="3" cm="1">
        <f t="array" ref="BP73:BP77">TREND(BP25:BP30,$B$25:$B$30,$B$31:$B$35)</f>
        <v>583450.15833333135</v>
      </c>
      <c r="BQ73" s="3" cm="1">
        <f t="array" ref="BQ73:BQ77">TREND(BQ25:BQ30,$B$25:$B$30,$B$31:$B$35)</f>
        <v>1608892.5333333015</v>
      </c>
      <c r="BR73" s="3" cm="1">
        <f t="array" ref="BR73:BR77">TREND(BR25:BR30,$B$25:$B$30,$B$31:$B$35)</f>
        <v>8322911.7333333306</v>
      </c>
      <c r="BS73" s="3"/>
      <c r="BT73" s="3" cm="1">
        <f t="array" ref="BT73:BT77">TREND(BT25:BT30,$B$25:$B$30,$B$31:$B$35)</f>
        <v>17.560117875304968</v>
      </c>
      <c r="BW73" s="16"/>
      <c r="BX73" s="16"/>
      <c r="BY73" s="16"/>
      <c r="BZ73" s="3"/>
      <c r="CC73" s="16"/>
      <c r="CD73" s="16"/>
      <c r="CE73" s="16"/>
      <c r="CF73" s="3"/>
      <c r="CI73" s="16"/>
      <c r="CJ73" s="16"/>
      <c r="CK73" s="16"/>
      <c r="CL73" s="3"/>
      <c r="CO73" s="16"/>
      <c r="CP73" s="16"/>
      <c r="CQ73" s="16"/>
      <c r="CR73" s="3"/>
      <c r="CU73" s="16"/>
      <c r="CV73" s="16"/>
      <c r="CW73" s="16"/>
      <c r="CX73" s="3"/>
    </row>
    <row r="74" spans="2:102" x14ac:dyDescent="0.35">
      <c r="B74">
        <f t="shared" ref="B74:B79" si="85">B64</f>
        <v>2022</v>
      </c>
      <c r="E74" s="16">
        <v>1.0483741259165527</v>
      </c>
      <c r="F74" s="16">
        <v>1.2064523716441684</v>
      </c>
      <c r="G74" s="16"/>
      <c r="H74" s="3"/>
      <c r="I74" s="3"/>
      <c r="L74" s="16">
        <v>1.0626553025375465</v>
      </c>
      <c r="N74" s="3">
        <v>37492095.626097202</v>
      </c>
      <c r="V74" s="16">
        <v>1.0628066857853735</v>
      </c>
      <c r="X74" s="3">
        <v>44206550.108355045</v>
      </c>
      <c r="AD74" s="16">
        <v>1.0618616886360623</v>
      </c>
      <c r="AG74" s="3">
        <v>30231692.458942413</v>
      </c>
      <c r="AJ74" s="16">
        <v>1.0914911154557387</v>
      </c>
      <c r="AM74" s="3">
        <v>12194634.889082432</v>
      </c>
      <c r="AP74" s="16">
        <v>1.0249793434617276</v>
      </c>
      <c r="AS74" s="3">
        <v>42063899.613363266</v>
      </c>
      <c r="AV74" s="16">
        <v>1.0318501353008589</v>
      </c>
      <c r="AX74" s="3">
        <v>40283676.853032589</v>
      </c>
      <c r="BA74" s="16">
        <v>1.0628066857853735</v>
      </c>
      <c r="BC74" s="3">
        <v>44206550.108355045</v>
      </c>
      <c r="BD74" s="3"/>
      <c r="BK74" s="3">
        <v>110218.09523809701</v>
      </c>
      <c r="BL74" s="3">
        <v>44520.821428567171</v>
      </c>
      <c r="BM74" s="3">
        <v>183927.71326530725</v>
      </c>
      <c r="BN74" s="3">
        <v>237343.75238095236</v>
      </c>
      <c r="BO74" s="3">
        <v>484131.79047618806</v>
      </c>
      <c r="BP74" s="3">
        <v>691652.41768705845</v>
      </c>
      <c r="BQ74" s="3">
        <v>1408459.5904762149</v>
      </c>
      <c r="BR74" s="3">
        <v>8309547.9904761873</v>
      </c>
      <c r="BS74" s="3"/>
      <c r="BT74" s="3">
        <v>17.733694910852648</v>
      </c>
      <c r="BW74" s="16"/>
      <c r="BX74" s="16"/>
      <c r="BY74" s="16"/>
      <c r="BZ74" s="3"/>
      <c r="CC74" s="16"/>
      <c r="CD74" s="16"/>
      <c r="CE74" s="16"/>
      <c r="CF74" s="3"/>
      <c r="CI74" s="16"/>
      <c r="CJ74" s="16"/>
      <c r="CK74" s="16"/>
      <c r="CL74" s="3"/>
      <c r="CO74" s="16"/>
      <c r="CP74" s="16"/>
      <c r="CQ74" s="16"/>
      <c r="CR74" s="3"/>
      <c r="CU74" s="16"/>
      <c r="CV74" s="16"/>
      <c r="CW74" s="16"/>
      <c r="CX74" s="3"/>
    </row>
    <row r="75" spans="2:102" x14ac:dyDescent="0.35">
      <c r="B75">
        <f t="shared" si="85"/>
        <v>2023</v>
      </c>
      <c r="E75" s="16">
        <v>1.0536674494489695</v>
      </c>
      <c r="F75" s="16">
        <v>1.237887209765077</v>
      </c>
      <c r="G75" s="16"/>
      <c r="H75" s="3"/>
      <c r="I75" s="3"/>
      <c r="L75" s="16">
        <v>1.0683238344335102</v>
      </c>
      <c r="N75" s="3">
        <v>38665485.219517231</v>
      </c>
      <c r="V75" s="16">
        <v>1.068511486181686</v>
      </c>
      <c r="X75" s="3">
        <v>45553450.518823624</v>
      </c>
      <c r="AD75" s="16">
        <v>1.0681494310029613</v>
      </c>
      <c r="AG75" s="3">
        <v>31093712.251479626</v>
      </c>
      <c r="AJ75" s="16">
        <v>1.0997531964966889</v>
      </c>
      <c r="AM75" s="3">
        <v>12834202.884590864</v>
      </c>
      <c r="AP75" s="16">
        <v>1.0290116458492085</v>
      </c>
      <c r="AS75" s="3">
        <v>43719764.84021759</v>
      </c>
      <c r="AV75" s="16">
        <v>1.0374188188558708</v>
      </c>
      <c r="AX75" s="3">
        <v>42094229.457463741</v>
      </c>
      <c r="BA75" s="16">
        <v>1.068511486181686</v>
      </c>
      <c r="BC75" s="3">
        <v>45553450.518823624</v>
      </c>
      <c r="BD75" s="3"/>
      <c r="BK75" s="3">
        <v>87829.52380952239</v>
      </c>
      <c r="BL75" s="3">
        <v>21599.809523805976</v>
      </c>
      <c r="BM75" s="3">
        <v>196620.75153061375</v>
      </c>
      <c r="BN75" s="3">
        <v>237354.43809523809</v>
      </c>
      <c r="BO75" s="3">
        <v>453657.44761905074</v>
      </c>
      <c r="BP75" s="3">
        <v>799854.67704081535</v>
      </c>
      <c r="BQ75" s="3">
        <v>1208026.6476190686</v>
      </c>
      <c r="BR75" s="3">
        <v>8296184.247619044</v>
      </c>
      <c r="BS75" s="3"/>
      <c r="BT75" s="3">
        <v>17.907271946400385</v>
      </c>
      <c r="BW75" s="16"/>
      <c r="BX75" s="16"/>
      <c r="BY75" s="16"/>
      <c r="BZ75" s="3"/>
      <c r="CC75" s="16"/>
      <c r="CD75" s="16"/>
      <c r="CE75" s="16"/>
      <c r="CF75" s="3"/>
      <c r="CI75" s="16"/>
      <c r="CJ75" s="16"/>
      <c r="CK75" s="16"/>
      <c r="CL75" s="3"/>
      <c r="CO75" s="16"/>
      <c r="CP75" s="16"/>
      <c r="CQ75" s="16"/>
      <c r="CR75" s="3"/>
      <c r="CU75" s="16"/>
      <c r="CV75" s="16"/>
      <c r="CW75" s="16"/>
      <c r="CX75" s="3"/>
    </row>
    <row r="76" spans="2:102" x14ac:dyDescent="0.35">
      <c r="B76">
        <f t="shared" si="85"/>
        <v>2024</v>
      </c>
      <c r="E76" s="16">
        <v>1.0589607729813864</v>
      </c>
      <c r="F76" s="16">
        <v>1.2693220478859786</v>
      </c>
      <c r="G76" s="16"/>
      <c r="H76" s="3"/>
      <c r="I76" s="3"/>
      <c r="L76" s="16">
        <v>1.0739923663294739</v>
      </c>
      <c r="N76" s="3">
        <v>39838874.812936783</v>
      </c>
      <c r="V76" s="16">
        <v>1.0742162865779985</v>
      </c>
      <c r="X76" s="3">
        <v>46900350.929292202</v>
      </c>
      <c r="AD76" s="16">
        <v>1.0744371733698603</v>
      </c>
      <c r="AG76" s="3">
        <v>31955732.044016838</v>
      </c>
      <c r="AJ76" s="16">
        <v>1.1080152775376391</v>
      </c>
      <c r="AM76" s="3">
        <v>13473770.880099535</v>
      </c>
      <c r="AP76" s="16">
        <v>1.0330439482366893</v>
      </c>
      <c r="AS76" s="3">
        <v>45375630.067071915</v>
      </c>
      <c r="AV76" s="16">
        <v>1.0429875024108828</v>
      </c>
      <c r="AX76" s="3">
        <v>43904782.06189537</v>
      </c>
      <c r="BA76" s="16">
        <v>1.0742162865779985</v>
      </c>
      <c r="BC76" s="3">
        <v>46900350.929292202</v>
      </c>
      <c r="BD76" s="3"/>
      <c r="BK76" s="3">
        <v>65440.952380955219</v>
      </c>
      <c r="BL76" s="3">
        <v>-1321.2023809552193</v>
      </c>
      <c r="BM76" s="3">
        <v>209313.78979592025</v>
      </c>
      <c r="BN76" s="3">
        <v>237365.12380952379</v>
      </c>
      <c r="BO76" s="3">
        <v>423183.10476190597</v>
      </c>
      <c r="BP76" s="3">
        <v>908056.93639454246</v>
      </c>
      <c r="BQ76" s="3">
        <v>1007593.7047619224</v>
      </c>
      <c r="BR76" s="3">
        <v>8282820.5047619008</v>
      </c>
      <c r="BS76" s="3"/>
      <c r="BT76" s="3">
        <v>18.080848981948066</v>
      </c>
      <c r="BW76" s="16"/>
      <c r="BX76" s="16"/>
      <c r="BY76" s="16"/>
      <c r="BZ76" s="3"/>
      <c r="CC76" s="16"/>
      <c r="CD76" s="16"/>
      <c r="CE76" s="16"/>
      <c r="CF76" s="3"/>
      <c r="CI76" s="16"/>
      <c r="CJ76" s="16"/>
      <c r="CK76" s="16"/>
      <c r="CL76" s="3"/>
      <c r="CO76" s="16"/>
      <c r="CP76" s="16"/>
      <c r="CQ76" s="16"/>
      <c r="CR76" s="3"/>
      <c r="CU76" s="16"/>
      <c r="CV76" s="16"/>
      <c r="CW76" s="16"/>
      <c r="CX76" s="3"/>
    </row>
    <row r="77" spans="2:102" x14ac:dyDescent="0.35">
      <c r="B77">
        <f t="shared" si="85"/>
        <v>2025</v>
      </c>
      <c r="E77" s="16">
        <v>1.0642540965138032</v>
      </c>
      <c r="F77" s="16">
        <v>1.3007568860068801</v>
      </c>
      <c r="G77" s="16"/>
      <c r="H77" s="3"/>
      <c r="I77" s="3"/>
      <c r="L77" s="16">
        <v>1.0796608982254376</v>
      </c>
      <c r="N77" s="3">
        <v>41012264.406356335</v>
      </c>
      <c r="V77" s="16">
        <v>1.079921086974311</v>
      </c>
      <c r="X77" s="3">
        <v>48247251.33976078</v>
      </c>
      <c r="AD77" s="16">
        <v>1.0807249157367593</v>
      </c>
      <c r="AG77" s="3">
        <v>32817751.836554289</v>
      </c>
      <c r="AJ77" s="16">
        <v>1.1162773585785892</v>
      </c>
      <c r="AM77" s="3">
        <v>14113338.875607967</v>
      </c>
      <c r="AP77" s="16">
        <v>1.0370762506241684</v>
      </c>
      <c r="AS77" s="3">
        <v>47031495.293926239</v>
      </c>
      <c r="AV77" s="16">
        <v>1.048556185965893</v>
      </c>
      <c r="AX77" s="3">
        <v>45715334.666327</v>
      </c>
      <c r="BA77" s="16">
        <v>1.079921086974311</v>
      </c>
      <c r="BC77" s="3">
        <v>48247251.33976078</v>
      </c>
      <c r="BD77" s="3"/>
      <c r="BK77" s="3">
        <v>43052.380952380598</v>
      </c>
      <c r="BL77" s="3">
        <v>-24242.214285716414</v>
      </c>
      <c r="BM77" s="3">
        <v>222006.82806122676</v>
      </c>
      <c r="BN77" s="3">
        <v>237375.8095238095</v>
      </c>
      <c r="BO77" s="3">
        <v>392708.7619047612</v>
      </c>
      <c r="BP77" s="3">
        <v>1016259.1957482994</v>
      </c>
      <c r="BQ77" s="3">
        <v>807160.7619047761</v>
      </c>
      <c r="BR77" s="3">
        <v>8269456.7619047575</v>
      </c>
      <c r="BS77" s="3"/>
      <c r="BT77" s="3">
        <v>18.254426017495803</v>
      </c>
      <c r="BW77" s="16"/>
      <c r="BX77" s="16"/>
      <c r="BY77" s="16"/>
      <c r="BZ77" s="3"/>
      <c r="CC77" s="16"/>
      <c r="CD77" s="16"/>
      <c r="CE77" s="16"/>
      <c r="CF77" s="3"/>
      <c r="CI77" s="16"/>
      <c r="CJ77" s="16"/>
      <c r="CK77" s="16"/>
      <c r="CL77" s="3"/>
      <c r="CO77" s="16"/>
      <c r="CP77" s="16"/>
      <c r="CQ77" s="16"/>
      <c r="CR77" s="3"/>
      <c r="CU77" s="16"/>
      <c r="CV77" s="16"/>
      <c r="CW77" s="16"/>
      <c r="CX77" s="3"/>
    </row>
    <row r="79" spans="2:102" x14ac:dyDescent="0.35">
      <c r="B79" t="str">
        <f t="shared" si="85"/>
        <v>2025/2020</v>
      </c>
      <c r="H79" s="41"/>
      <c r="I79" s="41"/>
      <c r="N79" s="41">
        <f>100*((N77/N30)^(1/($B$77-$B$30))-1)</f>
        <v>3.5051929582611274</v>
      </c>
      <c r="X79" s="41">
        <f>100*((X77/X30)^(1/($B$77-$B$30))-1)</f>
        <v>3.4334147496993372</v>
      </c>
      <c r="AG79" s="41">
        <f>100*((AG77/AG30)^(1/($B$77-$B$30))-1)</f>
        <v>3.3065430305462717</v>
      </c>
      <c r="AM79" s="41">
        <f>100*((AM77/AM30)^(1/($B$77-$B$30))-1)</f>
        <v>6.4253538930059806</v>
      </c>
      <c r="AS79" s="41">
        <f>100*((AS77/AS30)^(1/($B$77-$B$30))-1)</f>
        <v>4.158101134056702</v>
      </c>
      <c r="AX79" s="41">
        <f>100*((AX77/AX30)^(1/($B$77-$B$30))-1)</f>
        <v>4.9885222716948174</v>
      </c>
      <c r="BC79" s="41">
        <f>100*((BC77/BC30)^(1/($B$77-$B$30))-1)</f>
        <v>3.4334147496993372</v>
      </c>
      <c r="BK79" s="41">
        <f t="shared" ref="BK79:BQ79" si="86">100*((BK77/BK30)^(1/($B$77-$B$30))-1)</f>
        <v>-26.448177935415863</v>
      </c>
      <c r="BL79" s="41">
        <f t="shared" si="86"/>
        <v>-175.32071901504142</v>
      </c>
      <c r="BM79" s="41">
        <f t="shared" si="86"/>
        <v>2.1097627780587214</v>
      </c>
      <c r="BN79" s="41">
        <f t="shared" si="86"/>
        <v>-1.0309754043598129</v>
      </c>
      <c r="BO79" s="41">
        <f t="shared" si="86"/>
        <v>-4.7159699600269551</v>
      </c>
      <c r="BP79" s="41">
        <f t="shared" si="86"/>
        <v>6.2646081248320939</v>
      </c>
      <c r="BQ79" s="41">
        <f t="shared" si="86"/>
        <v>-8.3758400812174898</v>
      </c>
      <c r="BR79" s="41">
        <f>100*((BR77/BR30)^(1/($B$77-$B$30))-1)</f>
        <v>-0.18933912328611413</v>
      </c>
      <c r="BS79" s="41"/>
      <c r="BT79" s="41">
        <f>100*((BT77/BT30)^(1/($B$77-$B$30))-1)</f>
        <v>2.3986888896801561</v>
      </c>
      <c r="BZ79" s="41"/>
      <c r="CF79" s="41"/>
      <c r="CL79" s="41"/>
      <c r="CR79" s="41"/>
      <c r="CX79" s="41"/>
    </row>
  </sheetData>
  <sheetProtection algorithmName="SHA-512" hashValue="kLIWNk7JlPBxaXWpaCkUm7NfCuJ7R9Mnylt1S7Dx/UlqTeeN2Ggv3ziEhwqeOK18Z4+UmBAj3FsXflyRV4coOA==" saltValue="IT/fnJeg6alBq92CWAdgcA==" spinCount="100000" sheet="1" formatCells="0" formatColumns="0" formatRows="0" insertColumns="0" insertRows="0" insertHyperlinks="0" deleteColumns="0" deleteRows="0"/>
  <mergeCells count="44">
    <mergeCell ref="G3:I3"/>
    <mergeCell ref="AL3:AM3"/>
    <mergeCell ref="AR3:AS3"/>
    <mergeCell ref="AF3:AG3"/>
    <mergeCell ref="CQ3:CR3"/>
    <mergeCell ref="CW3:CX3"/>
    <mergeCell ref="CK3:CL3"/>
    <mergeCell ref="BY3:BZ3"/>
    <mergeCell ref="CE3:CF3"/>
    <mergeCell ref="BU4:BZ4"/>
    <mergeCell ref="CA4:CF4"/>
    <mergeCell ref="CG4:CL4"/>
    <mergeCell ref="CM4:CR4"/>
    <mergeCell ref="CS4:CX4"/>
    <mergeCell ref="AN4:AS4"/>
    <mergeCell ref="AT4:AX4"/>
    <mergeCell ref="AY4:BC4"/>
    <mergeCell ref="BD4:BI4"/>
    <mergeCell ref="BJ4:BR4"/>
    <mergeCell ref="BS4:BT4"/>
    <mergeCell ref="CM2:CR2"/>
    <mergeCell ref="CS2:CX2"/>
    <mergeCell ref="C4:H4"/>
    <mergeCell ref="J4:N4"/>
    <mergeCell ref="O4:S4"/>
    <mergeCell ref="T4:X4"/>
    <mergeCell ref="AB4:AG4"/>
    <mergeCell ref="AH4:AM4"/>
    <mergeCell ref="BD2:BI2"/>
    <mergeCell ref="BJ2:BR2"/>
    <mergeCell ref="BS2:BT2"/>
    <mergeCell ref="BU2:BZ2"/>
    <mergeCell ref="CA2:CF2"/>
    <mergeCell ref="CG2:CL2"/>
    <mergeCell ref="AH2:AM2"/>
    <mergeCell ref="C2:I2"/>
    <mergeCell ref="AN2:AS2"/>
    <mergeCell ref="AT2:AX2"/>
    <mergeCell ref="AY2:BC2"/>
    <mergeCell ref="AB2:AG2"/>
    <mergeCell ref="J2:N2"/>
    <mergeCell ref="O2:S2"/>
    <mergeCell ref="T2:X2"/>
    <mergeCell ref="Y2:AA2"/>
  </mergeCells>
  <phoneticPr fontId="5" type="noConversion"/>
  <pageMargins left="0.7" right="0.7" top="0.75" bottom="0.75" header="0.3" footer="0.3"/>
  <pageSetup paperSize="9" orientation="portrait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FE82C0-A6D5-4785-A2AC-D3CF7755E374}">
  <dimension ref="B2:EP58"/>
  <sheetViews>
    <sheetView topLeftCell="B1" zoomScale="80" zoomScaleNormal="80" workbookViewId="0">
      <pane xSplit="1" ySplit="4" topLeftCell="C5" activePane="bottomRight" state="frozen"/>
      <selection activeCell="B1" sqref="B1"/>
      <selection pane="topRight" activeCell="C1" sqref="C1"/>
      <selection pane="bottomLeft" activeCell="B5" sqref="B5"/>
      <selection pane="bottomRight" activeCell="B5" sqref="B5"/>
    </sheetView>
  </sheetViews>
  <sheetFormatPr defaultRowHeight="14.5" x14ac:dyDescent="0.35"/>
  <cols>
    <col min="2" max="2" width="71.26953125" bestFit="1" customWidth="1"/>
    <col min="3" max="3" width="12.453125" customWidth="1"/>
    <col min="4" max="55" width="12.7265625" customWidth="1"/>
    <col min="56" max="56" width="15.1796875" customWidth="1"/>
    <col min="57" max="64" width="12.7265625" customWidth="1"/>
    <col min="65" max="65" width="13.26953125" bestFit="1" customWidth="1"/>
    <col min="66" max="100" width="12.7265625" customWidth="1"/>
    <col min="101" max="101" width="13.26953125" bestFit="1" customWidth="1"/>
    <col min="102" max="146" width="12.7265625" customWidth="1"/>
  </cols>
  <sheetData>
    <row r="2" spans="2:146" x14ac:dyDescent="0.35">
      <c r="C2" s="354">
        <v>2010</v>
      </c>
      <c r="D2" s="354"/>
      <c r="E2" s="354"/>
      <c r="F2" s="354"/>
      <c r="G2" s="354"/>
      <c r="H2" s="354"/>
      <c r="I2" s="354"/>
      <c r="J2" s="354"/>
      <c r="K2" s="354"/>
      <c r="L2" s="354">
        <f>C2+1</f>
        <v>2011</v>
      </c>
      <c r="M2" s="354"/>
      <c r="N2" s="354"/>
      <c r="O2" s="354"/>
      <c r="P2" s="354"/>
      <c r="Q2" s="354"/>
      <c r="R2" s="354"/>
      <c r="S2" s="354"/>
      <c r="T2" s="354"/>
      <c r="U2" s="354">
        <f>L2+1</f>
        <v>2012</v>
      </c>
      <c r="V2" s="354"/>
      <c r="W2" s="354"/>
      <c r="X2" s="354"/>
      <c r="Y2" s="354"/>
      <c r="Z2" s="354"/>
      <c r="AA2" s="354"/>
      <c r="AB2" s="354"/>
      <c r="AC2" s="354"/>
      <c r="AD2" s="354">
        <f>U2+1</f>
        <v>2013</v>
      </c>
      <c r="AE2" s="354"/>
      <c r="AF2" s="354"/>
      <c r="AG2" s="354"/>
      <c r="AH2" s="354"/>
      <c r="AI2" s="354"/>
      <c r="AJ2" s="354"/>
      <c r="AK2" s="354"/>
      <c r="AL2" s="354"/>
      <c r="AM2" s="354">
        <f>AD2+1</f>
        <v>2014</v>
      </c>
      <c r="AN2" s="354"/>
      <c r="AO2" s="354"/>
      <c r="AP2" s="354"/>
      <c r="AQ2" s="354"/>
      <c r="AR2" s="354"/>
      <c r="AS2" s="354"/>
      <c r="AT2" s="354"/>
      <c r="AU2" s="354"/>
      <c r="AV2" s="354">
        <f>AM2+1</f>
        <v>2015</v>
      </c>
      <c r="AW2" s="354"/>
      <c r="AX2" s="354"/>
      <c r="AY2" s="354"/>
      <c r="AZ2" s="354"/>
      <c r="BA2" s="354"/>
      <c r="BB2" s="354"/>
      <c r="BC2" s="354"/>
      <c r="BD2" s="354"/>
      <c r="BE2" s="354">
        <f>AV2+1</f>
        <v>2016</v>
      </c>
      <c r="BF2" s="354"/>
      <c r="BG2" s="354"/>
      <c r="BH2" s="354"/>
      <c r="BI2" s="354"/>
      <c r="BJ2" s="354"/>
      <c r="BK2" s="354"/>
      <c r="BL2" s="354"/>
      <c r="BM2" s="354"/>
      <c r="BN2" s="354">
        <f>BE2+1</f>
        <v>2017</v>
      </c>
      <c r="BO2" s="354"/>
      <c r="BP2" s="354"/>
      <c r="BQ2" s="354"/>
      <c r="BR2" s="354"/>
      <c r="BS2" s="354"/>
      <c r="BT2" s="354"/>
      <c r="BU2" s="354"/>
      <c r="BV2" s="354"/>
      <c r="BW2" s="354">
        <f>BN2+1</f>
        <v>2018</v>
      </c>
      <c r="BX2" s="354"/>
      <c r="BY2" s="354"/>
      <c r="BZ2" s="354"/>
      <c r="CA2" s="354"/>
      <c r="CB2" s="354"/>
      <c r="CC2" s="354"/>
      <c r="CD2" s="354"/>
      <c r="CE2" s="354"/>
      <c r="CF2" s="354">
        <f>BW2+1</f>
        <v>2019</v>
      </c>
      <c r="CG2" s="354"/>
      <c r="CH2" s="354"/>
      <c r="CI2" s="354"/>
      <c r="CJ2" s="354"/>
      <c r="CK2" s="354"/>
      <c r="CL2" s="354"/>
      <c r="CM2" s="354"/>
      <c r="CN2" s="354"/>
      <c r="CO2" s="380">
        <f>CF2+1</f>
        <v>2020</v>
      </c>
      <c r="CP2" s="380"/>
      <c r="CQ2" s="380"/>
      <c r="CR2" s="380"/>
      <c r="CS2" s="380"/>
      <c r="CT2" s="380"/>
      <c r="CU2" s="380"/>
      <c r="CV2" s="380"/>
      <c r="CW2" s="380"/>
      <c r="CX2" s="380">
        <f>CO2+1</f>
        <v>2021</v>
      </c>
      <c r="CY2" s="380"/>
      <c r="CZ2" s="380"/>
      <c r="DA2" s="380"/>
      <c r="DB2" s="380"/>
      <c r="DC2" s="380"/>
      <c r="DD2" s="380"/>
      <c r="DE2" s="380"/>
      <c r="DF2" s="380"/>
      <c r="DG2" s="380">
        <f>CX2+1</f>
        <v>2022</v>
      </c>
      <c r="DH2" s="380"/>
      <c r="DI2" s="380"/>
      <c r="DJ2" s="380"/>
      <c r="DK2" s="380"/>
      <c r="DL2" s="380"/>
      <c r="DM2" s="380"/>
      <c r="DN2" s="380"/>
      <c r="DO2" s="380"/>
      <c r="DP2" s="380">
        <f>DG2+1</f>
        <v>2023</v>
      </c>
      <c r="DQ2" s="380"/>
      <c r="DR2" s="380"/>
      <c r="DS2" s="380"/>
      <c r="DT2" s="380"/>
      <c r="DU2" s="380"/>
      <c r="DV2" s="380"/>
      <c r="DW2" s="380"/>
      <c r="DX2" s="380"/>
      <c r="DY2" s="380">
        <f>DP2+1</f>
        <v>2024</v>
      </c>
      <c r="DZ2" s="380"/>
      <c r="EA2" s="380"/>
      <c r="EB2" s="380"/>
      <c r="EC2" s="380"/>
      <c r="ED2" s="380"/>
      <c r="EE2" s="380"/>
      <c r="EF2" s="380"/>
      <c r="EG2" s="380"/>
      <c r="EH2" s="380">
        <f>DY2+1</f>
        <v>2025</v>
      </c>
      <c r="EI2" s="380"/>
      <c r="EJ2" s="380"/>
      <c r="EK2" s="380"/>
      <c r="EL2" s="380"/>
      <c r="EM2" s="380"/>
      <c r="EN2" s="380"/>
      <c r="EO2" s="380"/>
      <c r="EP2" s="380"/>
    </row>
    <row r="3" spans="2:146" x14ac:dyDescent="0.35">
      <c r="C3" s="355" t="s">
        <v>82</v>
      </c>
      <c r="D3" s="352"/>
      <c r="E3" s="352"/>
      <c r="F3" s="352"/>
      <c r="G3" s="352"/>
      <c r="H3" s="352"/>
      <c r="I3" s="352"/>
      <c r="J3" s="352"/>
      <c r="K3" s="384"/>
      <c r="L3" s="355" t="str">
        <f>C3</f>
        <v>2015 évi áron</v>
      </c>
      <c r="M3" s="352"/>
      <c r="N3" s="352"/>
      <c r="O3" s="352"/>
      <c r="P3" s="352"/>
      <c r="Q3" s="352"/>
      <c r="R3" s="352"/>
      <c r="S3" s="352"/>
      <c r="T3" s="384"/>
      <c r="U3" s="355" t="str">
        <f>L3</f>
        <v>2015 évi áron</v>
      </c>
      <c r="V3" s="352"/>
      <c r="W3" s="352"/>
      <c r="X3" s="352"/>
      <c r="Y3" s="352"/>
      <c r="Z3" s="352"/>
      <c r="AA3" s="352"/>
      <c r="AB3" s="352"/>
      <c r="AC3" s="384"/>
      <c r="AD3" s="355" t="str">
        <f>U3</f>
        <v>2015 évi áron</v>
      </c>
      <c r="AE3" s="352"/>
      <c r="AF3" s="352"/>
      <c r="AG3" s="352"/>
      <c r="AH3" s="352"/>
      <c r="AI3" s="352"/>
      <c r="AJ3" s="352"/>
      <c r="AK3" s="352"/>
      <c r="AL3" s="384"/>
      <c r="AM3" s="355" t="str">
        <f>AD3</f>
        <v>2015 évi áron</v>
      </c>
      <c r="AN3" s="352"/>
      <c r="AO3" s="352"/>
      <c r="AP3" s="352"/>
      <c r="AQ3" s="352"/>
      <c r="AR3" s="352"/>
      <c r="AS3" s="352"/>
      <c r="AT3" s="352"/>
      <c r="AU3" s="384"/>
      <c r="AV3" s="355" t="str">
        <f>AM3</f>
        <v>2015 évi áron</v>
      </c>
      <c r="AW3" s="352"/>
      <c r="AX3" s="352"/>
      <c r="AY3" s="352"/>
      <c r="AZ3" s="352"/>
      <c r="BA3" s="352"/>
      <c r="BB3" s="352"/>
      <c r="BC3" s="352"/>
      <c r="BD3" s="384"/>
      <c r="BE3" s="355" t="str">
        <f>AV3</f>
        <v>2015 évi áron</v>
      </c>
      <c r="BF3" s="352"/>
      <c r="BG3" s="352"/>
      <c r="BH3" s="352"/>
      <c r="BI3" s="352"/>
      <c r="BJ3" s="352"/>
      <c r="BK3" s="352"/>
      <c r="BL3" s="352"/>
      <c r="BM3" s="384"/>
      <c r="BN3" s="355" t="str">
        <f>BE3</f>
        <v>2015 évi áron</v>
      </c>
      <c r="BO3" s="352"/>
      <c r="BP3" s="352"/>
      <c r="BQ3" s="352"/>
      <c r="BR3" s="352"/>
      <c r="BS3" s="352"/>
      <c r="BT3" s="352"/>
      <c r="BU3" s="352"/>
      <c r="BV3" s="384"/>
      <c r="BW3" s="355" t="str">
        <f>BN3</f>
        <v>2015 évi áron</v>
      </c>
      <c r="BX3" s="352"/>
      <c r="BY3" s="352"/>
      <c r="BZ3" s="352"/>
      <c r="CA3" s="352"/>
      <c r="CB3" s="352"/>
      <c r="CC3" s="352"/>
      <c r="CD3" s="352"/>
      <c r="CE3" s="384"/>
      <c r="CF3" s="355" t="str">
        <f>BW3</f>
        <v>2015 évi áron</v>
      </c>
      <c r="CG3" s="352"/>
      <c r="CH3" s="352"/>
      <c r="CI3" s="352"/>
      <c r="CJ3" s="352"/>
      <c r="CK3" s="352"/>
      <c r="CL3" s="352"/>
      <c r="CM3" s="352"/>
      <c r="CN3" s="384"/>
      <c r="CO3" s="381" t="str">
        <f>CF3</f>
        <v>2015 évi áron</v>
      </c>
      <c r="CP3" s="382"/>
      <c r="CQ3" s="382"/>
      <c r="CR3" s="382"/>
      <c r="CS3" s="382"/>
      <c r="CT3" s="382"/>
      <c r="CU3" s="382"/>
      <c r="CV3" s="382"/>
      <c r="CW3" s="383"/>
      <c r="CX3" s="381" t="str">
        <f>CO3</f>
        <v>2015 évi áron</v>
      </c>
      <c r="CY3" s="382"/>
      <c r="CZ3" s="382"/>
      <c r="DA3" s="382"/>
      <c r="DB3" s="382"/>
      <c r="DC3" s="382"/>
      <c r="DD3" s="382"/>
      <c r="DE3" s="382"/>
      <c r="DF3" s="383"/>
      <c r="DG3" s="381" t="str">
        <f>CX3</f>
        <v>2015 évi áron</v>
      </c>
      <c r="DH3" s="382"/>
      <c r="DI3" s="382"/>
      <c r="DJ3" s="382"/>
      <c r="DK3" s="382"/>
      <c r="DL3" s="382"/>
      <c r="DM3" s="382"/>
      <c r="DN3" s="382"/>
      <c r="DO3" s="383"/>
      <c r="DP3" s="381" t="str">
        <f>DG3</f>
        <v>2015 évi áron</v>
      </c>
      <c r="DQ3" s="382"/>
      <c r="DR3" s="382"/>
      <c r="DS3" s="382"/>
      <c r="DT3" s="382"/>
      <c r="DU3" s="382"/>
      <c r="DV3" s="382"/>
      <c r="DW3" s="382"/>
      <c r="DX3" s="383"/>
      <c r="DY3" s="381" t="str">
        <f>DP3</f>
        <v>2015 évi áron</v>
      </c>
      <c r="DZ3" s="382"/>
      <c r="EA3" s="382"/>
      <c r="EB3" s="382"/>
      <c r="EC3" s="382"/>
      <c r="ED3" s="382"/>
      <c r="EE3" s="382"/>
      <c r="EF3" s="382"/>
      <c r="EG3" s="383"/>
      <c r="EH3" s="381" t="str">
        <f>DY3</f>
        <v>2015 évi áron</v>
      </c>
      <c r="EI3" s="382"/>
      <c r="EJ3" s="382"/>
      <c r="EK3" s="382"/>
      <c r="EL3" s="382"/>
      <c r="EM3" s="382"/>
      <c r="EN3" s="382"/>
      <c r="EO3" s="382"/>
      <c r="EP3" s="383"/>
    </row>
    <row r="4" spans="2:146" ht="58" x14ac:dyDescent="0.35">
      <c r="C4" s="42" t="str">
        <f>B5</f>
        <v>Upstream</v>
      </c>
      <c r="D4" s="42" t="str">
        <f>B6</f>
        <v>Gyártás</v>
      </c>
      <c r="E4" s="42" t="str">
        <f>B7</f>
        <v>Downstream</v>
      </c>
      <c r="F4" s="42" t="s">
        <v>73</v>
      </c>
      <c r="G4" s="42" t="s">
        <v>74</v>
      </c>
      <c r="H4" s="42" t="s">
        <v>75</v>
      </c>
      <c r="I4" s="42" t="s">
        <v>76</v>
      </c>
      <c r="J4" s="42" t="s">
        <v>77</v>
      </c>
      <c r="K4" s="42" t="s">
        <v>78</v>
      </c>
      <c r="L4" s="46" t="str">
        <f>C4</f>
        <v>Upstream</v>
      </c>
      <c r="M4" s="14" t="str">
        <f t="shared" ref="M4:S4" si="0">D4</f>
        <v>Gyártás</v>
      </c>
      <c r="N4" s="14" t="str">
        <f t="shared" si="0"/>
        <v>Downstream</v>
      </c>
      <c r="O4" s="14" t="str">
        <f t="shared" si="0"/>
        <v>Összes input</v>
      </c>
      <c r="P4" s="14" t="str">
        <f t="shared" si="0"/>
        <v>Végső fogyasztási kiadás összesen</v>
      </c>
      <c r="Q4" s="14" t="str">
        <f t="shared" si="0"/>
        <v>Bruttó felhalmozás összesen</v>
      </c>
      <c r="R4" s="14" t="str">
        <f t="shared" si="0"/>
        <v>Export összesen</v>
      </c>
      <c r="S4" s="14" t="str">
        <f t="shared" si="0"/>
        <v>Végső felhasználás összesen</v>
      </c>
      <c r="T4" s="14" t="str">
        <f t="shared" ref="T4" si="1">K4</f>
        <v>Felhasználás összesen</v>
      </c>
      <c r="U4" s="14" t="str">
        <f>L4</f>
        <v>Upstream</v>
      </c>
      <c r="V4" s="14" t="str">
        <f t="shared" ref="V4" si="2">M4</f>
        <v>Gyártás</v>
      </c>
      <c r="W4" s="14" t="str">
        <f t="shared" ref="W4" si="3">N4</f>
        <v>Downstream</v>
      </c>
      <c r="X4" s="14" t="str">
        <f t="shared" ref="X4" si="4">O4</f>
        <v>Összes input</v>
      </c>
      <c r="Y4" s="14" t="str">
        <f t="shared" ref="Y4" si="5">P4</f>
        <v>Végső fogyasztási kiadás összesen</v>
      </c>
      <c r="Z4" s="14" t="str">
        <f t="shared" ref="Z4" si="6">Q4</f>
        <v>Bruttó felhalmozás összesen</v>
      </c>
      <c r="AA4" s="14" t="str">
        <f t="shared" ref="AA4" si="7">R4</f>
        <v>Export összesen</v>
      </c>
      <c r="AB4" s="14" t="str">
        <f t="shared" ref="AB4" si="8">S4</f>
        <v>Végső felhasználás összesen</v>
      </c>
      <c r="AC4" s="14" t="str">
        <f t="shared" ref="AC4" si="9">T4</f>
        <v>Felhasználás összesen</v>
      </c>
      <c r="AD4" s="14" t="str">
        <f>U4</f>
        <v>Upstream</v>
      </c>
      <c r="AE4" s="14" t="str">
        <f t="shared" ref="AE4" si="10">V4</f>
        <v>Gyártás</v>
      </c>
      <c r="AF4" s="14" t="str">
        <f t="shared" ref="AF4" si="11">W4</f>
        <v>Downstream</v>
      </c>
      <c r="AG4" s="14" t="str">
        <f t="shared" ref="AG4" si="12">X4</f>
        <v>Összes input</v>
      </c>
      <c r="AH4" s="14" t="str">
        <f t="shared" ref="AH4" si="13">Y4</f>
        <v>Végső fogyasztási kiadás összesen</v>
      </c>
      <c r="AI4" s="14" t="str">
        <f t="shared" ref="AI4" si="14">Z4</f>
        <v>Bruttó felhalmozás összesen</v>
      </c>
      <c r="AJ4" s="14" t="str">
        <f t="shared" ref="AJ4" si="15">AA4</f>
        <v>Export összesen</v>
      </c>
      <c r="AK4" s="14" t="str">
        <f t="shared" ref="AK4" si="16">AB4</f>
        <v>Végső felhasználás összesen</v>
      </c>
      <c r="AL4" s="14" t="str">
        <f t="shared" ref="AL4" si="17">AC4</f>
        <v>Felhasználás összesen</v>
      </c>
      <c r="AM4" s="14" t="str">
        <f>AD4</f>
        <v>Upstream</v>
      </c>
      <c r="AN4" s="14" t="str">
        <f t="shared" ref="AN4" si="18">AE4</f>
        <v>Gyártás</v>
      </c>
      <c r="AO4" s="14" t="str">
        <f t="shared" ref="AO4" si="19">AF4</f>
        <v>Downstream</v>
      </c>
      <c r="AP4" s="14" t="str">
        <f t="shared" ref="AP4" si="20">AG4</f>
        <v>Összes input</v>
      </c>
      <c r="AQ4" s="14" t="str">
        <f t="shared" ref="AQ4" si="21">AH4</f>
        <v>Végső fogyasztási kiadás összesen</v>
      </c>
      <c r="AR4" s="14" t="str">
        <f t="shared" ref="AR4" si="22">AI4</f>
        <v>Bruttó felhalmozás összesen</v>
      </c>
      <c r="AS4" s="14" t="str">
        <f t="shared" ref="AS4" si="23">AJ4</f>
        <v>Export összesen</v>
      </c>
      <c r="AT4" s="14" t="str">
        <f t="shared" ref="AT4" si="24">AK4</f>
        <v>Végső felhasználás összesen</v>
      </c>
      <c r="AU4" s="14" t="str">
        <f t="shared" ref="AU4" si="25">AL4</f>
        <v>Felhasználás összesen</v>
      </c>
      <c r="AV4" s="14" t="str">
        <f>AM4</f>
        <v>Upstream</v>
      </c>
      <c r="AW4" s="14" t="str">
        <f t="shared" ref="AW4" si="26">AN4</f>
        <v>Gyártás</v>
      </c>
      <c r="AX4" s="14" t="str">
        <f t="shared" ref="AX4" si="27">AO4</f>
        <v>Downstream</v>
      </c>
      <c r="AY4" s="14" t="str">
        <f t="shared" ref="AY4" si="28">AP4</f>
        <v>Összes input</v>
      </c>
      <c r="AZ4" s="14" t="str">
        <f t="shared" ref="AZ4" si="29">AQ4</f>
        <v>Végső fogyasztási kiadás összesen</v>
      </c>
      <c r="BA4" s="14" t="str">
        <f t="shared" ref="BA4" si="30">AR4</f>
        <v>Bruttó felhalmozás összesen</v>
      </c>
      <c r="BB4" s="14" t="str">
        <f t="shared" ref="BB4" si="31">AS4</f>
        <v>Export összesen</v>
      </c>
      <c r="BC4" s="14" t="str">
        <f t="shared" ref="BC4" si="32">AT4</f>
        <v>Végső felhasználás összesen</v>
      </c>
      <c r="BD4" s="14" t="str">
        <f t="shared" ref="BD4" si="33">AU4</f>
        <v>Felhasználás összesen</v>
      </c>
      <c r="BE4" s="14" t="str">
        <f>AV4</f>
        <v>Upstream</v>
      </c>
      <c r="BF4" s="14" t="str">
        <f t="shared" ref="BF4" si="34">AW4</f>
        <v>Gyártás</v>
      </c>
      <c r="BG4" s="14" t="str">
        <f t="shared" ref="BG4" si="35">AX4</f>
        <v>Downstream</v>
      </c>
      <c r="BH4" s="14" t="str">
        <f t="shared" ref="BH4" si="36">AY4</f>
        <v>Összes input</v>
      </c>
      <c r="BI4" s="14" t="str">
        <f t="shared" ref="BI4" si="37">AZ4</f>
        <v>Végső fogyasztási kiadás összesen</v>
      </c>
      <c r="BJ4" s="14" t="str">
        <f t="shared" ref="BJ4" si="38">BA4</f>
        <v>Bruttó felhalmozás összesen</v>
      </c>
      <c r="BK4" s="14" t="str">
        <f t="shared" ref="BK4" si="39">BB4</f>
        <v>Export összesen</v>
      </c>
      <c r="BL4" s="14" t="str">
        <f t="shared" ref="BL4" si="40">BC4</f>
        <v>Végső felhasználás összesen</v>
      </c>
      <c r="BM4" s="14" t="str">
        <f t="shared" ref="BM4" si="41">BD4</f>
        <v>Felhasználás összesen</v>
      </c>
      <c r="BN4" s="14" t="str">
        <f>BE4</f>
        <v>Upstream</v>
      </c>
      <c r="BO4" s="14" t="str">
        <f t="shared" ref="BO4" si="42">BF4</f>
        <v>Gyártás</v>
      </c>
      <c r="BP4" s="14" t="str">
        <f t="shared" ref="BP4" si="43">BG4</f>
        <v>Downstream</v>
      </c>
      <c r="BQ4" s="14" t="str">
        <f t="shared" ref="BQ4" si="44">BH4</f>
        <v>Összes input</v>
      </c>
      <c r="BR4" s="14" t="str">
        <f t="shared" ref="BR4" si="45">BI4</f>
        <v>Végső fogyasztási kiadás összesen</v>
      </c>
      <c r="BS4" s="14" t="str">
        <f t="shared" ref="BS4" si="46">BJ4</f>
        <v>Bruttó felhalmozás összesen</v>
      </c>
      <c r="BT4" s="14" t="str">
        <f t="shared" ref="BT4" si="47">BK4</f>
        <v>Export összesen</v>
      </c>
      <c r="BU4" s="14" t="str">
        <f t="shared" ref="BU4" si="48">BL4</f>
        <v>Végső felhasználás összesen</v>
      </c>
      <c r="BV4" s="14" t="str">
        <f t="shared" ref="BV4" si="49">BM4</f>
        <v>Felhasználás összesen</v>
      </c>
      <c r="BW4" s="14" t="str">
        <f>BN4</f>
        <v>Upstream</v>
      </c>
      <c r="BX4" s="14" t="str">
        <f t="shared" ref="BX4" si="50">BO4</f>
        <v>Gyártás</v>
      </c>
      <c r="BY4" s="14" t="str">
        <f t="shared" ref="BY4" si="51">BP4</f>
        <v>Downstream</v>
      </c>
      <c r="BZ4" s="14" t="str">
        <f t="shared" ref="BZ4" si="52">BQ4</f>
        <v>Összes input</v>
      </c>
      <c r="CA4" s="14" t="str">
        <f t="shared" ref="CA4" si="53">BR4</f>
        <v>Végső fogyasztási kiadás összesen</v>
      </c>
      <c r="CB4" s="14" t="str">
        <f t="shared" ref="CB4" si="54">BS4</f>
        <v>Bruttó felhalmozás összesen</v>
      </c>
      <c r="CC4" s="14" t="str">
        <f t="shared" ref="CC4" si="55">BT4</f>
        <v>Export összesen</v>
      </c>
      <c r="CD4" s="14" t="str">
        <f t="shared" ref="CD4" si="56">BU4</f>
        <v>Végső felhasználás összesen</v>
      </c>
      <c r="CE4" s="14" t="str">
        <f t="shared" ref="CE4" si="57">BV4</f>
        <v>Felhasználás összesen</v>
      </c>
      <c r="CF4" s="14" t="str">
        <f>BW4</f>
        <v>Upstream</v>
      </c>
      <c r="CG4" s="14" t="str">
        <f t="shared" ref="CG4" si="58">BX4</f>
        <v>Gyártás</v>
      </c>
      <c r="CH4" s="14" t="str">
        <f t="shared" ref="CH4" si="59">BY4</f>
        <v>Downstream</v>
      </c>
      <c r="CI4" s="14" t="str">
        <f t="shared" ref="CI4" si="60">BZ4</f>
        <v>Összes input</v>
      </c>
      <c r="CJ4" s="14" t="str">
        <f t="shared" ref="CJ4" si="61">CA4</f>
        <v>Végső fogyasztási kiadás összesen</v>
      </c>
      <c r="CK4" s="14" t="str">
        <f t="shared" ref="CK4" si="62">CB4</f>
        <v>Bruttó felhalmozás összesen</v>
      </c>
      <c r="CL4" s="14" t="str">
        <f t="shared" ref="CL4" si="63">CC4</f>
        <v>Export összesen</v>
      </c>
      <c r="CM4" s="14" t="str">
        <f t="shared" ref="CM4" si="64">CD4</f>
        <v>Végső felhasználás összesen</v>
      </c>
      <c r="CN4" s="14" t="str">
        <f t="shared" ref="CN4" si="65">CE4</f>
        <v>Felhasználás összesen</v>
      </c>
      <c r="CO4" s="101" t="str">
        <f>CF4</f>
        <v>Upstream</v>
      </c>
      <c r="CP4" s="101" t="str">
        <f t="shared" ref="CP4" si="66">CG4</f>
        <v>Gyártás</v>
      </c>
      <c r="CQ4" s="101" t="str">
        <f t="shared" ref="CQ4" si="67">CH4</f>
        <v>Downstream</v>
      </c>
      <c r="CR4" s="101" t="str">
        <f t="shared" ref="CR4" si="68">CI4</f>
        <v>Összes input</v>
      </c>
      <c r="CS4" s="101" t="str">
        <f t="shared" ref="CS4" si="69">CJ4</f>
        <v>Végső fogyasztási kiadás összesen</v>
      </c>
      <c r="CT4" s="101" t="str">
        <f t="shared" ref="CT4" si="70">CK4</f>
        <v>Bruttó felhalmozás összesen</v>
      </c>
      <c r="CU4" s="101" t="str">
        <f t="shared" ref="CU4" si="71">CL4</f>
        <v>Export összesen</v>
      </c>
      <c r="CV4" s="101" t="str">
        <f t="shared" ref="CV4" si="72">CM4</f>
        <v>Végső felhasználás összesen</v>
      </c>
      <c r="CW4" s="101" t="str">
        <f t="shared" ref="CW4" si="73">CN4</f>
        <v>Felhasználás összesen</v>
      </c>
      <c r="CX4" s="101" t="str">
        <f>CO4</f>
        <v>Upstream</v>
      </c>
      <c r="CY4" s="101" t="str">
        <f t="shared" ref="CY4" si="74">CP4</f>
        <v>Gyártás</v>
      </c>
      <c r="CZ4" s="101" t="str">
        <f t="shared" ref="CZ4" si="75">CQ4</f>
        <v>Downstream</v>
      </c>
      <c r="DA4" s="101" t="str">
        <f t="shared" ref="DA4" si="76">CR4</f>
        <v>Összes input</v>
      </c>
      <c r="DB4" s="101" t="str">
        <f t="shared" ref="DB4" si="77">CS4</f>
        <v>Végső fogyasztási kiadás összesen</v>
      </c>
      <c r="DC4" s="101" t="str">
        <f t="shared" ref="DC4" si="78">CT4</f>
        <v>Bruttó felhalmozás összesen</v>
      </c>
      <c r="DD4" s="101" t="str">
        <f t="shared" ref="DD4" si="79">CU4</f>
        <v>Export összesen</v>
      </c>
      <c r="DE4" s="101" t="str">
        <f t="shared" ref="DE4" si="80">CV4</f>
        <v>Végső felhasználás összesen</v>
      </c>
      <c r="DF4" s="101" t="str">
        <f t="shared" ref="DF4" si="81">CW4</f>
        <v>Felhasználás összesen</v>
      </c>
      <c r="DG4" s="101" t="str">
        <f>CX4</f>
        <v>Upstream</v>
      </c>
      <c r="DH4" s="101" t="str">
        <f t="shared" ref="DH4" si="82">CY4</f>
        <v>Gyártás</v>
      </c>
      <c r="DI4" s="101" t="str">
        <f t="shared" ref="DI4" si="83">CZ4</f>
        <v>Downstream</v>
      </c>
      <c r="DJ4" s="101" t="str">
        <f t="shared" ref="DJ4" si="84">DA4</f>
        <v>Összes input</v>
      </c>
      <c r="DK4" s="101" t="str">
        <f t="shared" ref="DK4" si="85">DB4</f>
        <v>Végső fogyasztási kiadás összesen</v>
      </c>
      <c r="DL4" s="101" t="str">
        <f t="shared" ref="DL4" si="86">DC4</f>
        <v>Bruttó felhalmozás összesen</v>
      </c>
      <c r="DM4" s="101" t="str">
        <f t="shared" ref="DM4" si="87">DD4</f>
        <v>Export összesen</v>
      </c>
      <c r="DN4" s="101" t="str">
        <f t="shared" ref="DN4" si="88">DE4</f>
        <v>Végső felhasználás összesen</v>
      </c>
      <c r="DO4" s="101" t="str">
        <f t="shared" ref="DO4" si="89">DF4</f>
        <v>Felhasználás összesen</v>
      </c>
      <c r="DP4" s="101" t="str">
        <f>DG4</f>
        <v>Upstream</v>
      </c>
      <c r="DQ4" s="101" t="str">
        <f t="shared" ref="DQ4" si="90">DH4</f>
        <v>Gyártás</v>
      </c>
      <c r="DR4" s="101" t="str">
        <f t="shared" ref="DR4" si="91">DI4</f>
        <v>Downstream</v>
      </c>
      <c r="DS4" s="101" t="str">
        <f t="shared" ref="DS4" si="92">DJ4</f>
        <v>Összes input</v>
      </c>
      <c r="DT4" s="101" t="str">
        <f t="shared" ref="DT4" si="93">DK4</f>
        <v>Végső fogyasztási kiadás összesen</v>
      </c>
      <c r="DU4" s="101" t="str">
        <f t="shared" ref="DU4" si="94">DL4</f>
        <v>Bruttó felhalmozás összesen</v>
      </c>
      <c r="DV4" s="101" t="str">
        <f t="shared" ref="DV4" si="95">DM4</f>
        <v>Export összesen</v>
      </c>
      <c r="DW4" s="101" t="str">
        <f t="shared" ref="DW4" si="96">DN4</f>
        <v>Végső felhasználás összesen</v>
      </c>
      <c r="DX4" s="101" t="str">
        <f t="shared" ref="DX4" si="97">DO4</f>
        <v>Felhasználás összesen</v>
      </c>
      <c r="DY4" s="101" t="str">
        <f>DP4</f>
        <v>Upstream</v>
      </c>
      <c r="DZ4" s="101" t="str">
        <f t="shared" ref="DZ4" si="98">DQ4</f>
        <v>Gyártás</v>
      </c>
      <c r="EA4" s="101" t="str">
        <f t="shared" ref="EA4" si="99">DR4</f>
        <v>Downstream</v>
      </c>
      <c r="EB4" s="101" t="str">
        <f t="shared" ref="EB4" si="100">DS4</f>
        <v>Összes input</v>
      </c>
      <c r="EC4" s="101" t="str">
        <f t="shared" ref="EC4" si="101">DT4</f>
        <v>Végső fogyasztási kiadás összesen</v>
      </c>
      <c r="ED4" s="101" t="str">
        <f t="shared" ref="ED4" si="102">DU4</f>
        <v>Bruttó felhalmozás összesen</v>
      </c>
      <c r="EE4" s="101" t="str">
        <f t="shared" ref="EE4" si="103">DV4</f>
        <v>Export összesen</v>
      </c>
      <c r="EF4" s="101" t="str">
        <f t="shared" ref="EF4" si="104">DW4</f>
        <v>Végső felhasználás összesen</v>
      </c>
      <c r="EG4" s="101" t="str">
        <f t="shared" ref="EG4" si="105">DX4</f>
        <v>Felhasználás összesen</v>
      </c>
      <c r="EH4" s="101" t="str">
        <f>DY4</f>
        <v>Upstream</v>
      </c>
      <c r="EI4" s="101" t="str">
        <f t="shared" ref="EI4" si="106">DZ4</f>
        <v>Gyártás</v>
      </c>
      <c r="EJ4" s="101" t="str">
        <f t="shared" ref="EJ4" si="107">EA4</f>
        <v>Downstream</v>
      </c>
      <c r="EK4" s="101" t="str">
        <f t="shared" ref="EK4" si="108">EB4</f>
        <v>Összes input</v>
      </c>
      <c r="EL4" s="101" t="str">
        <f t="shared" ref="EL4" si="109">EC4</f>
        <v>Végső fogyasztási kiadás összesen</v>
      </c>
      <c r="EM4" s="101" t="str">
        <f t="shared" ref="EM4" si="110">ED4</f>
        <v>Bruttó felhalmozás összesen</v>
      </c>
      <c r="EN4" s="101" t="str">
        <f t="shared" ref="EN4" si="111">EE4</f>
        <v>Export összesen</v>
      </c>
      <c r="EO4" s="101" t="str">
        <f t="shared" ref="EO4" si="112">EF4</f>
        <v>Végső felhasználás összesen</v>
      </c>
      <c r="EP4" s="101" t="str">
        <f t="shared" ref="EP4" si="113">EG4</f>
        <v>Felhasználás összesen</v>
      </c>
    </row>
    <row r="5" spans="2:146" ht="15" customHeight="1" x14ac:dyDescent="0.35">
      <c r="B5" t="s">
        <v>0</v>
      </c>
      <c r="C5" s="371" t="s">
        <v>131</v>
      </c>
      <c r="D5" s="372"/>
      <c r="E5" s="372"/>
      <c r="F5" s="372" t="s">
        <v>137</v>
      </c>
      <c r="G5" s="372" t="s">
        <v>145</v>
      </c>
      <c r="H5" s="372" t="s">
        <v>146</v>
      </c>
      <c r="I5" s="372" t="s">
        <v>147</v>
      </c>
      <c r="J5" s="372" t="s">
        <v>148</v>
      </c>
      <c r="K5" s="378" t="s">
        <v>149</v>
      </c>
      <c r="L5" s="371" t="s">
        <v>167</v>
      </c>
      <c r="M5" s="372"/>
      <c r="N5" s="372"/>
      <c r="O5" s="372" t="s">
        <v>168</v>
      </c>
      <c r="P5" s="373" t="s">
        <v>169</v>
      </c>
      <c r="Q5" s="373" t="s">
        <v>170</v>
      </c>
      <c r="R5" s="373" t="s">
        <v>171</v>
      </c>
      <c r="S5" s="373" t="s">
        <v>172</v>
      </c>
      <c r="T5" s="375" t="s">
        <v>173</v>
      </c>
      <c r="U5" s="371" t="s">
        <v>174</v>
      </c>
      <c r="V5" s="372"/>
      <c r="W5" s="372"/>
      <c r="X5" s="372" t="s">
        <v>175</v>
      </c>
      <c r="Y5" s="373" t="s">
        <v>176</v>
      </c>
      <c r="Z5" s="373" t="s">
        <v>177</v>
      </c>
      <c r="AA5" s="373" t="s">
        <v>178</v>
      </c>
      <c r="AB5" s="373" t="s">
        <v>179</v>
      </c>
      <c r="AC5" s="375" t="s">
        <v>180</v>
      </c>
      <c r="AD5" s="371" t="s">
        <v>181</v>
      </c>
      <c r="AE5" s="372"/>
      <c r="AF5" s="372"/>
      <c r="AG5" s="372" t="s">
        <v>182</v>
      </c>
      <c r="AH5" s="373" t="s">
        <v>183</v>
      </c>
      <c r="AI5" s="373" t="s">
        <v>184</v>
      </c>
      <c r="AJ5" s="373" t="s">
        <v>185</v>
      </c>
      <c r="AK5" s="373" t="s">
        <v>186</v>
      </c>
      <c r="AL5" s="375" t="s">
        <v>187</v>
      </c>
      <c r="AM5" s="371" t="s">
        <v>188</v>
      </c>
      <c r="AN5" s="372"/>
      <c r="AO5" s="372"/>
      <c r="AP5" s="372" t="s">
        <v>189</v>
      </c>
      <c r="AQ5" s="373" t="s">
        <v>190</v>
      </c>
      <c r="AR5" s="373" t="s">
        <v>191</v>
      </c>
      <c r="AS5" s="373" t="s">
        <v>192</v>
      </c>
      <c r="AT5" s="373" t="s">
        <v>193</v>
      </c>
      <c r="AU5" s="375" t="s">
        <v>194</v>
      </c>
      <c r="AV5" s="371" t="s">
        <v>195</v>
      </c>
      <c r="AW5" s="372"/>
      <c r="AX5" s="372"/>
      <c r="AY5" s="372" t="s">
        <v>196</v>
      </c>
      <c r="AZ5" s="372" t="s">
        <v>197</v>
      </c>
      <c r="BA5" s="372" t="s">
        <v>198</v>
      </c>
      <c r="BB5" s="372" t="s">
        <v>199</v>
      </c>
      <c r="BC5" s="372" t="s">
        <v>200</v>
      </c>
      <c r="BD5" s="378" t="s">
        <v>201</v>
      </c>
      <c r="BE5" s="371" t="s">
        <v>337</v>
      </c>
      <c r="BF5" s="372"/>
      <c r="BG5" s="372"/>
      <c r="BH5" s="372" t="s">
        <v>338</v>
      </c>
      <c r="BI5" s="373" t="s">
        <v>339</v>
      </c>
      <c r="BJ5" s="373" t="s">
        <v>340</v>
      </c>
      <c r="BK5" s="373" t="s">
        <v>341</v>
      </c>
      <c r="BL5" s="373" t="s">
        <v>342</v>
      </c>
      <c r="BM5" s="375" t="s">
        <v>343</v>
      </c>
      <c r="BN5" s="371" t="s">
        <v>371</v>
      </c>
      <c r="BO5" s="372"/>
      <c r="BP5" s="372"/>
      <c r="BQ5" s="372" t="s">
        <v>372</v>
      </c>
      <c r="BR5" s="373" t="s">
        <v>373</v>
      </c>
      <c r="BS5" s="373" t="s">
        <v>374</v>
      </c>
      <c r="BT5" s="373" t="s">
        <v>375</v>
      </c>
      <c r="BU5" s="373" t="s">
        <v>376</v>
      </c>
      <c r="BV5" s="375" t="s">
        <v>377</v>
      </c>
      <c r="BW5" s="371" t="s">
        <v>405</v>
      </c>
      <c r="BX5" s="372"/>
      <c r="BY5" s="372"/>
      <c r="BZ5" s="372" t="s">
        <v>406</v>
      </c>
      <c r="CA5" s="373" t="s">
        <v>407</v>
      </c>
      <c r="CB5" s="373" t="s">
        <v>408</v>
      </c>
      <c r="CC5" s="373" t="s">
        <v>409</v>
      </c>
      <c r="CD5" s="373" t="s">
        <v>410</v>
      </c>
      <c r="CE5" s="375" t="s">
        <v>411</v>
      </c>
      <c r="CF5" s="371" t="s">
        <v>439</v>
      </c>
      <c r="CG5" s="372"/>
      <c r="CH5" s="372"/>
      <c r="CI5" s="372" t="s">
        <v>440</v>
      </c>
      <c r="CJ5" s="373" t="s">
        <v>441</v>
      </c>
      <c r="CK5" s="373" t="s">
        <v>442</v>
      </c>
      <c r="CL5" s="373" t="s">
        <v>443</v>
      </c>
      <c r="CM5" s="373" t="s">
        <v>444</v>
      </c>
      <c r="CN5" s="375" t="s">
        <v>445</v>
      </c>
      <c r="CO5" s="371" t="s">
        <v>476</v>
      </c>
      <c r="CP5" s="372"/>
      <c r="CQ5" s="372"/>
      <c r="CR5" s="372" t="s">
        <v>477</v>
      </c>
      <c r="CS5" s="372" t="s">
        <v>478</v>
      </c>
      <c r="CT5" s="372" t="s">
        <v>479</v>
      </c>
      <c r="CU5" s="372" t="s">
        <v>480</v>
      </c>
      <c r="CV5" s="372" t="s">
        <v>481</v>
      </c>
      <c r="CW5" s="378" t="s">
        <v>482</v>
      </c>
      <c r="CX5" s="371" t="s">
        <v>507</v>
      </c>
      <c r="CY5" s="372"/>
      <c r="CZ5" s="372"/>
      <c r="DA5" s="372" t="s">
        <v>508</v>
      </c>
      <c r="DB5" s="373" t="s">
        <v>509</v>
      </c>
      <c r="DC5" s="373" t="s">
        <v>510</v>
      </c>
      <c r="DD5" s="373" t="s">
        <v>511</v>
      </c>
      <c r="DE5" s="373" t="s">
        <v>512</v>
      </c>
      <c r="DF5" s="375" t="s">
        <v>513</v>
      </c>
      <c r="DG5" s="371" t="s">
        <v>541</v>
      </c>
      <c r="DH5" s="372"/>
      <c r="DI5" s="372"/>
      <c r="DJ5" s="372" t="s">
        <v>542</v>
      </c>
      <c r="DK5" s="373" t="s">
        <v>543</v>
      </c>
      <c r="DL5" s="373" t="s">
        <v>544</v>
      </c>
      <c r="DM5" s="373" t="s">
        <v>545</v>
      </c>
      <c r="DN5" s="373" t="s">
        <v>546</v>
      </c>
      <c r="DO5" s="375" t="s">
        <v>547</v>
      </c>
      <c r="DP5" s="371" t="s">
        <v>575</v>
      </c>
      <c r="DQ5" s="372"/>
      <c r="DR5" s="372"/>
      <c r="DS5" s="372" t="s">
        <v>576</v>
      </c>
      <c r="DT5" s="373" t="s">
        <v>577</v>
      </c>
      <c r="DU5" s="373" t="s">
        <v>578</v>
      </c>
      <c r="DV5" s="373" t="s">
        <v>579</v>
      </c>
      <c r="DW5" s="373" t="s">
        <v>580</v>
      </c>
      <c r="DX5" s="375" t="s">
        <v>581</v>
      </c>
      <c r="DY5" s="371" t="s">
        <v>609</v>
      </c>
      <c r="DZ5" s="372"/>
      <c r="EA5" s="372"/>
      <c r="EB5" s="372" t="s">
        <v>610</v>
      </c>
      <c r="EC5" s="373" t="s">
        <v>611</v>
      </c>
      <c r="ED5" s="373" t="s">
        <v>612</v>
      </c>
      <c r="EE5" s="373" t="s">
        <v>613</v>
      </c>
      <c r="EF5" s="373" t="s">
        <v>614</v>
      </c>
      <c r="EG5" s="375" t="s">
        <v>615</v>
      </c>
      <c r="EH5" s="371" t="s">
        <v>643</v>
      </c>
      <c r="EI5" s="372"/>
      <c r="EJ5" s="372"/>
      <c r="EK5" s="372" t="s">
        <v>644</v>
      </c>
      <c r="EL5" s="373" t="s">
        <v>645</v>
      </c>
      <c r="EM5" s="373" t="s">
        <v>646</v>
      </c>
      <c r="EN5" s="373" t="s">
        <v>647</v>
      </c>
      <c r="EO5" s="373" t="s">
        <v>648</v>
      </c>
      <c r="EP5" s="375" t="s">
        <v>649</v>
      </c>
    </row>
    <row r="6" spans="2:146" x14ac:dyDescent="0.35">
      <c r="B6" t="s">
        <v>1</v>
      </c>
      <c r="C6" s="367"/>
      <c r="D6" s="368"/>
      <c r="E6" s="368"/>
      <c r="F6" s="368"/>
      <c r="G6" s="368"/>
      <c r="H6" s="368"/>
      <c r="I6" s="368"/>
      <c r="J6" s="368"/>
      <c r="K6" s="379"/>
      <c r="L6" s="367"/>
      <c r="M6" s="368"/>
      <c r="N6" s="368"/>
      <c r="O6" s="368"/>
      <c r="P6" s="374"/>
      <c r="Q6" s="374"/>
      <c r="R6" s="374"/>
      <c r="S6" s="374"/>
      <c r="T6" s="376"/>
      <c r="U6" s="367"/>
      <c r="V6" s="368"/>
      <c r="W6" s="368"/>
      <c r="X6" s="368"/>
      <c r="Y6" s="374"/>
      <c r="Z6" s="374"/>
      <c r="AA6" s="374"/>
      <c r="AB6" s="374"/>
      <c r="AC6" s="376"/>
      <c r="AD6" s="367"/>
      <c r="AE6" s="368"/>
      <c r="AF6" s="368"/>
      <c r="AG6" s="368"/>
      <c r="AH6" s="374"/>
      <c r="AI6" s="374"/>
      <c r="AJ6" s="374"/>
      <c r="AK6" s="374"/>
      <c r="AL6" s="376"/>
      <c r="AM6" s="367"/>
      <c r="AN6" s="368"/>
      <c r="AO6" s="368"/>
      <c r="AP6" s="368"/>
      <c r="AQ6" s="374"/>
      <c r="AR6" s="374"/>
      <c r="AS6" s="374"/>
      <c r="AT6" s="374"/>
      <c r="AU6" s="376"/>
      <c r="AV6" s="367"/>
      <c r="AW6" s="368"/>
      <c r="AX6" s="368"/>
      <c r="AY6" s="368"/>
      <c r="AZ6" s="368"/>
      <c r="BA6" s="368"/>
      <c r="BB6" s="368"/>
      <c r="BC6" s="368"/>
      <c r="BD6" s="379"/>
      <c r="BE6" s="367"/>
      <c r="BF6" s="368"/>
      <c r="BG6" s="368"/>
      <c r="BH6" s="368"/>
      <c r="BI6" s="374"/>
      <c r="BJ6" s="374"/>
      <c r="BK6" s="374"/>
      <c r="BL6" s="374"/>
      <c r="BM6" s="376"/>
      <c r="BN6" s="367"/>
      <c r="BO6" s="368"/>
      <c r="BP6" s="368"/>
      <c r="BQ6" s="368"/>
      <c r="BR6" s="374"/>
      <c r="BS6" s="374"/>
      <c r="BT6" s="374"/>
      <c r="BU6" s="374"/>
      <c r="BV6" s="376"/>
      <c r="BW6" s="367"/>
      <c r="BX6" s="368"/>
      <c r="BY6" s="368"/>
      <c r="BZ6" s="368"/>
      <c r="CA6" s="374"/>
      <c r="CB6" s="374"/>
      <c r="CC6" s="374"/>
      <c r="CD6" s="374"/>
      <c r="CE6" s="376"/>
      <c r="CF6" s="367"/>
      <c r="CG6" s="368"/>
      <c r="CH6" s="368"/>
      <c r="CI6" s="368"/>
      <c r="CJ6" s="374"/>
      <c r="CK6" s="374"/>
      <c r="CL6" s="374"/>
      <c r="CM6" s="374"/>
      <c r="CN6" s="376"/>
      <c r="CO6" s="367"/>
      <c r="CP6" s="368"/>
      <c r="CQ6" s="368"/>
      <c r="CR6" s="368"/>
      <c r="CS6" s="368"/>
      <c r="CT6" s="368"/>
      <c r="CU6" s="368"/>
      <c r="CV6" s="368"/>
      <c r="CW6" s="379"/>
      <c r="CX6" s="367"/>
      <c r="CY6" s="368"/>
      <c r="CZ6" s="368"/>
      <c r="DA6" s="368"/>
      <c r="DB6" s="374"/>
      <c r="DC6" s="374"/>
      <c r="DD6" s="374"/>
      <c r="DE6" s="374"/>
      <c r="DF6" s="376"/>
      <c r="DG6" s="367"/>
      <c r="DH6" s="368"/>
      <c r="DI6" s="368"/>
      <c r="DJ6" s="368"/>
      <c r="DK6" s="374"/>
      <c r="DL6" s="374"/>
      <c r="DM6" s="374"/>
      <c r="DN6" s="374"/>
      <c r="DO6" s="376"/>
      <c r="DP6" s="367"/>
      <c r="DQ6" s="368"/>
      <c r="DR6" s="368"/>
      <c r="DS6" s="368"/>
      <c r="DT6" s="374"/>
      <c r="DU6" s="374"/>
      <c r="DV6" s="374"/>
      <c r="DW6" s="374"/>
      <c r="DX6" s="376"/>
      <c r="DY6" s="367"/>
      <c r="DZ6" s="368"/>
      <c r="EA6" s="368"/>
      <c r="EB6" s="368"/>
      <c r="EC6" s="374"/>
      <c r="ED6" s="374"/>
      <c r="EE6" s="374"/>
      <c r="EF6" s="374"/>
      <c r="EG6" s="376"/>
      <c r="EH6" s="367"/>
      <c r="EI6" s="368"/>
      <c r="EJ6" s="368"/>
      <c r="EK6" s="368"/>
      <c r="EL6" s="374"/>
      <c r="EM6" s="374"/>
      <c r="EN6" s="374"/>
      <c r="EO6" s="374"/>
      <c r="EP6" s="376"/>
    </row>
    <row r="7" spans="2:146" x14ac:dyDescent="0.35">
      <c r="B7" t="s">
        <v>2</v>
      </c>
      <c r="C7" s="367"/>
      <c r="D7" s="368"/>
      <c r="E7" s="368"/>
      <c r="F7" s="368"/>
      <c r="G7" s="368"/>
      <c r="H7" s="368"/>
      <c r="I7" s="368"/>
      <c r="J7" s="368"/>
      <c r="K7" s="379"/>
      <c r="L7" s="367"/>
      <c r="M7" s="368"/>
      <c r="N7" s="368"/>
      <c r="O7" s="368"/>
      <c r="P7" s="374"/>
      <c r="Q7" s="374"/>
      <c r="R7" s="374"/>
      <c r="S7" s="374"/>
      <c r="T7" s="376"/>
      <c r="U7" s="367"/>
      <c r="V7" s="368"/>
      <c r="W7" s="368"/>
      <c r="X7" s="368"/>
      <c r="Y7" s="374"/>
      <c r="Z7" s="374"/>
      <c r="AA7" s="374"/>
      <c r="AB7" s="374"/>
      <c r="AC7" s="376"/>
      <c r="AD7" s="367"/>
      <c r="AE7" s="368"/>
      <c r="AF7" s="368"/>
      <c r="AG7" s="368"/>
      <c r="AH7" s="374"/>
      <c r="AI7" s="374"/>
      <c r="AJ7" s="374"/>
      <c r="AK7" s="374"/>
      <c r="AL7" s="376"/>
      <c r="AM7" s="367"/>
      <c r="AN7" s="368"/>
      <c r="AO7" s="368"/>
      <c r="AP7" s="368"/>
      <c r="AQ7" s="374"/>
      <c r="AR7" s="374"/>
      <c r="AS7" s="374"/>
      <c r="AT7" s="374"/>
      <c r="AU7" s="376"/>
      <c r="AV7" s="367"/>
      <c r="AW7" s="368"/>
      <c r="AX7" s="368"/>
      <c r="AY7" s="368"/>
      <c r="AZ7" s="368"/>
      <c r="BA7" s="368"/>
      <c r="BB7" s="368"/>
      <c r="BC7" s="368"/>
      <c r="BD7" s="379"/>
      <c r="BE7" s="367"/>
      <c r="BF7" s="368"/>
      <c r="BG7" s="368"/>
      <c r="BH7" s="368"/>
      <c r="BI7" s="374"/>
      <c r="BJ7" s="374"/>
      <c r="BK7" s="374"/>
      <c r="BL7" s="374"/>
      <c r="BM7" s="376"/>
      <c r="BN7" s="367"/>
      <c r="BO7" s="368"/>
      <c r="BP7" s="368"/>
      <c r="BQ7" s="368"/>
      <c r="BR7" s="374"/>
      <c r="BS7" s="374"/>
      <c r="BT7" s="374"/>
      <c r="BU7" s="374"/>
      <c r="BV7" s="376"/>
      <c r="BW7" s="367"/>
      <c r="BX7" s="368"/>
      <c r="BY7" s="368"/>
      <c r="BZ7" s="368"/>
      <c r="CA7" s="374"/>
      <c r="CB7" s="374"/>
      <c r="CC7" s="374"/>
      <c r="CD7" s="374"/>
      <c r="CE7" s="376"/>
      <c r="CF7" s="367"/>
      <c r="CG7" s="368"/>
      <c r="CH7" s="368"/>
      <c r="CI7" s="368"/>
      <c r="CJ7" s="374"/>
      <c r="CK7" s="374"/>
      <c r="CL7" s="374"/>
      <c r="CM7" s="374"/>
      <c r="CN7" s="376"/>
      <c r="CO7" s="367"/>
      <c r="CP7" s="368"/>
      <c r="CQ7" s="368"/>
      <c r="CR7" s="368"/>
      <c r="CS7" s="368"/>
      <c r="CT7" s="368"/>
      <c r="CU7" s="368"/>
      <c r="CV7" s="368"/>
      <c r="CW7" s="379"/>
      <c r="CX7" s="367"/>
      <c r="CY7" s="368"/>
      <c r="CZ7" s="368"/>
      <c r="DA7" s="368"/>
      <c r="DB7" s="374"/>
      <c r="DC7" s="374"/>
      <c r="DD7" s="374"/>
      <c r="DE7" s="374"/>
      <c r="DF7" s="376"/>
      <c r="DG7" s="367"/>
      <c r="DH7" s="368"/>
      <c r="DI7" s="368"/>
      <c r="DJ7" s="368"/>
      <c r="DK7" s="374"/>
      <c r="DL7" s="374"/>
      <c r="DM7" s="374"/>
      <c r="DN7" s="374"/>
      <c r="DO7" s="376"/>
      <c r="DP7" s="367"/>
      <c r="DQ7" s="368"/>
      <c r="DR7" s="368"/>
      <c r="DS7" s="368"/>
      <c r="DT7" s="374"/>
      <c r="DU7" s="374"/>
      <c r="DV7" s="374"/>
      <c r="DW7" s="374"/>
      <c r="DX7" s="376"/>
      <c r="DY7" s="367"/>
      <c r="DZ7" s="368"/>
      <c r="EA7" s="368"/>
      <c r="EB7" s="368"/>
      <c r="EC7" s="374"/>
      <c r="ED7" s="374"/>
      <c r="EE7" s="374"/>
      <c r="EF7" s="374"/>
      <c r="EG7" s="376"/>
      <c r="EH7" s="367"/>
      <c r="EI7" s="368"/>
      <c r="EJ7" s="368"/>
      <c r="EK7" s="368"/>
      <c r="EL7" s="374"/>
      <c r="EM7" s="374"/>
      <c r="EN7" s="374"/>
      <c r="EO7" s="374"/>
      <c r="EP7" s="376"/>
    </row>
    <row r="8" spans="2:146" x14ac:dyDescent="0.35">
      <c r="B8" t="s">
        <v>79</v>
      </c>
      <c r="C8" s="369" t="s">
        <v>132</v>
      </c>
      <c r="D8" s="370"/>
      <c r="E8" s="370"/>
      <c r="F8" s="93" t="s">
        <v>138</v>
      </c>
      <c r="G8" s="93" t="s">
        <v>150</v>
      </c>
      <c r="H8" s="93" t="s">
        <v>151</v>
      </c>
      <c r="I8" s="93" t="s">
        <v>152</v>
      </c>
      <c r="J8" s="93" t="s">
        <v>153</v>
      </c>
      <c r="K8" s="93" t="s">
        <v>154</v>
      </c>
      <c r="L8" s="369" t="s">
        <v>202</v>
      </c>
      <c r="M8" s="370"/>
      <c r="N8" s="370"/>
      <c r="O8" s="93" t="s">
        <v>203</v>
      </c>
      <c r="P8" s="93" t="s">
        <v>204</v>
      </c>
      <c r="Q8" s="93" t="s">
        <v>205</v>
      </c>
      <c r="R8" s="93" t="s">
        <v>206</v>
      </c>
      <c r="S8" s="93" t="s">
        <v>207</v>
      </c>
      <c r="T8" s="93" t="s">
        <v>208</v>
      </c>
      <c r="U8" s="369" t="s">
        <v>209</v>
      </c>
      <c r="V8" s="370"/>
      <c r="W8" s="370"/>
      <c r="X8" s="93" t="s">
        <v>210</v>
      </c>
      <c r="Y8" s="93" t="s">
        <v>211</v>
      </c>
      <c r="Z8" s="93" t="s">
        <v>212</v>
      </c>
      <c r="AA8" s="93" t="s">
        <v>213</v>
      </c>
      <c r="AB8" s="93" t="s">
        <v>214</v>
      </c>
      <c r="AC8" s="93" t="s">
        <v>215</v>
      </c>
      <c r="AD8" s="369" t="s">
        <v>216</v>
      </c>
      <c r="AE8" s="370"/>
      <c r="AF8" s="370"/>
      <c r="AG8" s="93" t="s">
        <v>217</v>
      </c>
      <c r="AH8" s="93" t="s">
        <v>218</v>
      </c>
      <c r="AI8" s="93" t="s">
        <v>219</v>
      </c>
      <c r="AJ8" s="93" t="s">
        <v>220</v>
      </c>
      <c r="AK8" s="93" t="s">
        <v>221</v>
      </c>
      <c r="AL8" s="93" t="s">
        <v>222</v>
      </c>
      <c r="AM8" s="369" t="s">
        <v>223</v>
      </c>
      <c r="AN8" s="370"/>
      <c r="AO8" s="370"/>
      <c r="AP8" s="93" t="s">
        <v>224</v>
      </c>
      <c r="AQ8" s="93" t="s">
        <v>225</v>
      </c>
      <c r="AR8" s="93" t="s">
        <v>226</v>
      </c>
      <c r="AS8" s="93" t="s">
        <v>227</v>
      </c>
      <c r="AT8" s="93" t="s">
        <v>228</v>
      </c>
      <c r="AU8" s="93" t="s">
        <v>229</v>
      </c>
      <c r="AV8" s="369" t="s">
        <v>230</v>
      </c>
      <c r="AW8" s="370"/>
      <c r="AX8" s="370"/>
      <c r="AY8" s="93" t="s">
        <v>231</v>
      </c>
      <c r="AZ8" s="93" t="s">
        <v>232</v>
      </c>
      <c r="BA8" s="93" t="s">
        <v>233</v>
      </c>
      <c r="BB8" s="93" t="s">
        <v>234</v>
      </c>
      <c r="BC8" s="93" t="s">
        <v>235</v>
      </c>
      <c r="BD8" s="93" t="s">
        <v>236</v>
      </c>
      <c r="BE8" s="369" t="s">
        <v>344</v>
      </c>
      <c r="BF8" s="370"/>
      <c r="BG8" s="370"/>
      <c r="BH8" s="93" t="s">
        <v>345</v>
      </c>
      <c r="BI8" s="93" t="s">
        <v>346</v>
      </c>
      <c r="BJ8" s="93" t="s">
        <v>347</v>
      </c>
      <c r="BK8" s="93" t="s">
        <v>348</v>
      </c>
      <c r="BL8" s="93" t="s">
        <v>349</v>
      </c>
      <c r="BM8" s="93" t="s">
        <v>350</v>
      </c>
      <c r="BN8" s="369" t="s">
        <v>378</v>
      </c>
      <c r="BO8" s="370"/>
      <c r="BP8" s="370"/>
      <c r="BQ8" s="93" t="s">
        <v>379</v>
      </c>
      <c r="BR8" s="93" t="s">
        <v>380</v>
      </c>
      <c r="BS8" s="93" t="s">
        <v>381</v>
      </c>
      <c r="BT8" s="93" t="s">
        <v>382</v>
      </c>
      <c r="BU8" s="93" t="s">
        <v>383</v>
      </c>
      <c r="BV8" s="93" t="s">
        <v>384</v>
      </c>
      <c r="BW8" s="369" t="s">
        <v>412</v>
      </c>
      <c r="BX8" s="370"/>
      <c r="BY8" s="370"/>
      <c r="BZ8" s="93" t="s">
        <v>413</v>
      </c>
      <c r="CA8" s="93" t="s">
        <v>414</v>
      </c>
      <c r="CB8" s="93" t="s">
        <v>415</v>
      </c>
      <c r="CC8" s="93" t="s">
        <v>416</v>
      </c>
      <c r="CD8" s="93" t="s">
        <v>417</v>
      </c>
      <c r="CE8" s="93" t="s">
        <v>418</v>
      </c>
      <c r="CF8" s="369" t="s">
        <v>446</v>
      </c>
      <c r="CG8" s="370"/>
      <c r="CH8" s="370"/>
      <c r="CI8" s="93" t="s">
        <v>447</v>
      </c>
      <c r="CJ8" s="93" t="s">
        <v>448</v>
      </c>
      <c r="CK8" s="93" t="s">
        <v>449</v>
      </c>
      <c r="CL8" s="93" t="s">
        <v>450</v>
      </c>
      <c r="CM8" s="93" t="s">
        <v>451</v>
      </c>
      <c r="CN8" s="93" t="s">
        <v>452</v>
      </c>
      <c r="CO8" s="369" t="s">
        <v>483</v>
      </c>
      <c r="CP8" s="370"/>
      <c r="CQ8" s="370"/>
      <c r="CR8" s="97" t="s">
        <v>484</v>
      </c>
      <c r="CS8" s="97" t="s">
        <v>485</v>
      </c>
      <c r="CT8" s="97" t="s">
        <v>486</v>
      </c>
      <c r="CU8" s="97" t="s">
        <v>487</v>
      </c>
      <c r="CV8" s="97" t="s">
        <v>488</v>
      </c>
      <c r="CW8" s="97" t="s">
        <v>489</v>
      </c>
      <c r="CX8" s="369" t="s">
        <v>514</v>
      </c>
      <c r="CY8" s="370"/>
      <c r="CZ8" s="370"/>
      <c r="DA8" s="97" t="s">
        <v>515</v>
      </c>
      <c r="DB8" s="97" t="s">
        <v>516</v>
      </c>
      <c r="DC8" s="97" t="s">
        <v>517</v>
      </c>
      <c r="DD8" s="97" t="s">
        <v>518</v>
      </c>
      <c r="DE8" s="97" t="s">
        <v>519</v>
      </c>
      <c r="DF8" s="97" t="s">
        <v>520</v>
      </c>
      <c r="DG8" s="369" t="s">
        <v>548</v>
      </c>
      <c r="DH8" s="370"/>
      <c r="DI8" s="370"/>
      <c r="DJ8" s="97" t="s">
        <v>549</v>
      </c>
      <c r="DK8" s="97" t="s">
        <v>550</v>
      </c>
      <c r="DL8" s="97" t="s">
        <v>551</v>
      </c>
      <c r="DM8" s="97" t="s">
        <v>552</v>
      </c>
      <c r="DN8" s="97" t="s">
        <v>553</v>
      </c>
      <c r="DO8" s="97" t="s">
        <v>554</v>
      </c>
      <c r="DP8" s="369" t="s">
        <v>582</v>
      </c>
      <c r="DQ8" s="370"/>
      <c r="DR8" s="370"/>
      <c r="DS8" s="97" t="s">
        <v>583</v>
      </c>
      <c r="DT8" s="97" t="s">
        <v>584</v>
      </c>
      <c r="DU8" s="97" t="s">
        <v>585</v>
      </c>
      <c r="DV8" s="97" t="s">
        <v>586</v>
      </c>
      <c r="DW8" s="97" t="s">
        <v>587</v>
      </c>
      <c r="DX8" s="97" t="s">
        <v>588</v>
      </c>
      <c r="DY8" s="369" t="s">
        <v>616</v>
      </c>
      <c r="DZ8" s="370"/>
      <c r="EA8" s="370"/>
      <c r="EB8" s="97" t="s">
        <v>617</v>
      </c>
      <c r="EC8" s="97" t="s">
        <v>618</v>
      </c>
      <c r="ED8" s="97" t="s">
        <v>619</v>
      </c>
      <c r="EE8" s="97" t="s">
        <v>620</v>
      </c>
      <c r="EF8" s="97" t="s">
        <v>621</v>
      </c>
      <c r="EG8" s="97" t="s">
        <v>622</v>
      </c>
      <c r="EH8" s="369" t="s">
        <v>650</v>
      </c>
      <c r="EI8" s="370"/>
      <c r="EJ8" s="370"/>
      <c r="EK8" s="97" t="s">
        <v>651</v>
      </c>
      <c r="EL8" s="97" t="s">
        <v>652</v>
      </c>
      <c r="EM8" s="97" t="s">
        <v>653</v>
      </c>
      <c r="EN8" s="97" t="s">
        <v>654</v>
      </c>
      <c r="EO8" s="97" t="s">
        <v>655</v>
      </c>
      <c r="EP8" s="102" t="s">
        <v>656</v>
      </c>
    </row>
    <row r="9" spans="2:146" ht="15" customHeight="1" x14ac:dyDescent="0.35">
      <c r="B9" t="s">
        <v>80</v>
      </c>
      <c r="C9" s="367" t="s">
        <v>133</v>
      </c>
      <c r="D9" s="368"/>
      <c r="E9" s="368"/>
      <c r="F9" s="368" t="s">
        <v>139</v>
      </c>
      <c r="G9" s="368" t="s">
        <v>155</v>
      </c>
      <c r="H9" s="368" t="s">
        <v>156</v>
      </c>
      <c r="I9" s="368" t="s">
        <v>157</v>
      </c>
      <c r="J9" s="374" t="s">
        <v>158</v>
      </c>
      <c r="K9" s="376" t="s">
        <v>159</v>
      </c>
      <c r="L9" s="367" t="s">
        <v>237</v>
      </c>
      <c r="M9" s="368"/>
      <c r="N9" s="368"/>
      <c r="O9" s="368" t="s">
        <v>238</v>
      </c>
      <c r="P9" s="377" t="s">
        <v>239</v>
      </c>
      <c r="Q9" s="377" t="s">
        <v>240</v>
      </c>
      <c r="R9" s="377" t="s">
        <v>241</v>
      </c>
      <c r="S9" s="374" t="s">
        <v>242</v>
      </c>
      <c r="T9" s="376" t="s">
        <v>243</v>
      </c>
      <c r="U9" s="367" t="s">
        <v>244</v>
      </c>
      <c r="V9" s="368"/>
      <c r="W9" s="368"/>
      <c r="X9" s="368" t="s">
        <v>245</v>
      </c>
      <c r="Y9" s="377" t="s">
        <v>246</v>
      </c>
      <c r="Z9" s="377" t="s">
        <v>247</v>
      </c>
      <c r="AA9" s="377" t="s">
        <v>248</v>
      </c>
      <c r="AB9" s="374" t="s">
        <v>249</v>
      </c>
      <c r="AC9" s="376" t="s">
        <v>250</v>
      </c>
      <c r="AD9" s="367" t="s">
        <v>251</v>
      </c>
      <c r="AE9" s="368"/>
      <c r="AF9" s="368"/>
      <c r="AG9" s="368" t="s">
        <v>252</v>
      </c>
      <c r="AH9" s="377" t="s">
        <v>253</v>
      </c>
      <c r="AI9" s="377" t="s">
        <v>254</v>
      </c>
      <c r="AJ9" s="377" t="s">
        <v>255</v>
      </c>
      <c r="AK9" s="374" t="s">
        <v>256</v>
      </c>
      <c r="AL9" s="376" t="s">
        <v>257</v>
      </c>
      <c r="AM9" s="367" t="s">
        <v>258</v>
      </c>
      <c r="AN9" s="368"/>
      <c r="AO9" s="368"/>
      <c r="AP9" s="368" t="s">
        <v>259</v>
      </c>
      <c r="AQ9" s="377" t="s">
        <v>260</v>
      </c>
      <c r="AR9" s="377" t="s">
        <v>261</v>
      </c>
      <c r="AS9" s="377" t="s">
        <v>262</v>
      </c>
      <c r="AT9" s="374" t="s">
        <v>263</v>
      </c>
      <c r="AU9" s="376" t="s">
        <v>264</v>
      </c>
      <c r="AV9" s="367" t="s">
        <v>265</v>
      </c>
      <c r="AW9" s="368"/>
      <c r="AX9" s="368"/>
      <c r="AY9" s="368" t="s">
        <v>266</v>
      </c>
      <c r="AZ9" s="368" t="s">
        <v>267</v>
      </c>
      <c r="BA9" s="368" t="s">
        <v>268</v>
      </c>
      <c r="BB9" s="368" t="s">
        <v>269</v>
      </c>
      <c r="BC9" s="374" t="s">
        <v>270</v>
      </c>
      <c r="BD9" s="376" t="s">
        <v>271</v>
      </c>
      <c r="BE9" s="367" t="s">
        <v>351</v>
      </c>
      <c r="BF9" s="368"/>
      <c r="BG9" s="368"/>
      <c r="BH9" s="368" t="s">
        <v>352</v>
      </c>
      <c r="BI9" s="377" t="s">
        <v>353</v>
      </c>
      <c r="BJ9" s="377" t="s">
        <v>354</v>
      </c>
      <c r="BK9" s="377" t="s">
        <v>355</v>
      </c>
      <c r="BL9" s="374" t="s">
        <v>356</v>
      </c>
      <c r="BM9" s="376" t="s">
        <v>357</v>
      </c>
      <c r="BN9" s="367" t="s">
        <v>385</v>
      </c>
      <c r="BO9" s="368"/>
      <c r="BP9" s="368"/>
      <c r="BQ9" s="368" t="s">
        <v>386</v>
      </c>
      <c r="BR9" s="377" t="s">
        <v>387</v>
      </c>
      <c r="BS9" s="377" t="s">
        <v>388</v>
      </c>
      <c r="BT9" s="377" t="s">
        <v>389</v>
      </c>
      <c r="BU9" s="374" t="s">
        <v>390</v>
      </c>
      <c r="BV9" s="376" t="s">
        <v>391</v>
      </c>
      <c r="BW9" s="367" t="s">
        <v>419</v>
      </c>
      <c r="BX9" s="368"/>
      <c r="BY9" s="368"/>
      <c r="BZ9" s="368" t="s">
        <v>420</v>
      </c>
      <c r="CA9" s="377" t="s">
        <v>421</v>
      </c>
      <c r="CB9" s="377" t="s">
        <v>422</v>
      </c>
      <c r="CC9" s="377" t="s">
        <v>423</v>
      </c>
      <c r="CD9" s="374" t="s">
        <v>424</v>
      </c>
      <c r="CE9" s="376" t="s">
        <v>425</v>
      </c>
      <c r="CF9" s="367" t="s">
        <v>453</v>
      </c>
      <c r="CG9" s="368"/>
      <c r="CH9" s="368"/>
      <c r="CI9" s="368" t="s">
        <v>454</v>
      </c>
      <c r="CJ9" s="377" t="s">
        <v>455</v>
      </c>
      <c r="CK9" s="377" t="s">
        <v>456</v>
      </c>
      <c r="CL9" s="377" t="s">
        <v>457</v>
      </c>
      <c r="CM9" s="374" t="s">
        <v>458</v>
      </c>
      <c r="CN9" s="376" t="s">
        <v>459</v>
      </c>
      <c r="CO9" s="367" t="s">
        <v>490</v>
      </c>
      <c r="CP9" s="368"/>
      <c r="CQ9" s="368"/>
      <c r="CR9" s="368" t="s">
        <v>491</v>
      </c>
      <c r="CS9" s="368" t="s">
        <v>492</v>
      </c>
      <c r="CT9" s="368" t="s">
        <v>493</v>
      </c>
      <c r="CU9" s="368" t="s">
        <v>494</v>
      </c>
      <c r="CV9" s="374" t="s">
        <v>495</v>
      </c>
      <c r="CW9" s="376" t="s">
        <v>496</v>
      </c>
      <c r="CX9" s="367" t="s">
        <v>521</v>
      </c>
      <c r="CY9" s="368"/>
      <c r="CZ9" s="368"/>
      <c r="DA9" s="368" t="s">
        <v>522</v>
      </c>
      <c r="DB9" s="377" t="s">
        <v>523</v>
      </c>
      <c r="DC9" s="377" t="s">
        <v>524</v>
      </c>
      <c r="DD9" s="377" t="s">
        <v>525</v>
      </c>
      <c r="DE9" s="374" t="s">
        <v>526</v>
      </c>
      <c r="DF9" s="376" t="s">
        <v>527</v>
      </c>
      <c r="DG9" s="367" t="s">
        <v>555</v>
      </c>
      <c r="DH9" s="368"/>
      <c r="DI9" s="368"/>
      <c r="DJ9" s="368" t="s">
        <v>556</v>
      </c>
      <c r="DK9" s="377" t="s">
        <v>557</v>
      </c>
      <c r="DL9" s="377" t="s">
        <v>558</v>
      </c>
      <c r="DM9" s="377" t="s">
        <v>559</v>
      </c>
      <c r="DN9" s="374" t="s">
        <v>560</v>
      </c>
      <c r="DO9" s="376" t="s">
        <v>561</v>
      </c>
      <c r="DP9" s="367" t="s">
        <v>589</v>
      </c>
      <c r="DQ9" s="368"/>
      <c r="DR9" s="368"/>
      <c r="DS9" s="368" t="s">
        <v>590</v>
      </c>
      <c r="DT9" s="377" t="s">
        <v>591</v>
      </c>
      <c r="DU9" s="377" t="s">
        <v>592</v>
      </c>
      <c r="DV9" s="377" t="s">
        <v>593</v>
      </c>
      <c r="DW9" s="374" t="s">
        <v>594</v>
      </c>
      <c r="DX9" s="376" t="s">
        <v>595</v>
      </c>
      <c r="DY9" s="367" t="s">
        <v>623</v>
      </c>
      <c r="DZ9" s="368"/>
      <c r="EA9" s="368"/>
      <c r="EB9" s="368" t="s">
        <v>624</v>
      </c>
      <c r="EC9" s="377" t="s">
        <v>625</v>
      </c>
      <c r="ED9" s="377" t="s">
        <v>626</v>
      </c>
      <c r="EE9" s="377" t="s">
        <v>627</v>
      </c>
      <c r="EF9" s="374" t="s">
        <v>628</v>
      </c>
      <c r="EG9" s="376" t="s">
        <v>629</v>
      </c>
      <c r="EH9" s="367" t="s">
        <v>657</v>
      </c>
      <c r="EI9" s="368"/>
      <c r="EJ9" s="368"/>
      <c r="EK9" s="368" t="s">
        <v>658</v>
      </c>
      <c r="EL9" s="377" t="s">
        <v>659</v>
      </c>
      <c r="EM9" s="377" t="s">
        <v>660</v>
      </c>
      <c r="EN9" s="377" t="s">
        <v>661</v>
      </c>
      <c r="EO9" s="374" t="s">
        <v>662</v>
      </c>
      <c r="EP9" s="376" t="s">
        <v>663</v>
      </c>
    </row>
    <row r="10" spans="2:146" x14ac:dyDescent="0.35">
      <c r="B10" t="s">
        <v>81</v>
      </c>
      <c r="C10" s="367"/>
      <c r="D10" s="368"/>
      <c r="E10" s="368"/>
      <c r="F10" s="368"/>
      <c r="G10" s="368"/>
      <c r="H10" s="368"/>
      <c r="I10" s="368"/>
      <c r="J10" s="374"/>
      <c r="K10" s="376"/>
      <c r="L10" s="367"/>
      <c r="M10" s="368"/>
      <c r="N10" s="368"/>
      <c r="O10" s="368"/>
      <c r="P10" s="377"/>
      <c r="Q10" s="377"/>
      <c r="R10" s="377"/>
      <c r="S10" s="374"/>
      <c r="T10" s="376"/>
      <c r="U10" s="367"/>
      <c r="V10" s="368"/>
      <c r="W10" s="368"/>
      <c r="X10" s="368"/>
      <c r="Y10" s="377"/>
      <c r="Z10" s="377"/>
      <c r="AA10" s="377"/>
      <c r="AB10" s="374"/>
      <c r="AC10" s="376"/>
      <c r="AD10" s="367"/>
      <c r="AE10" s="368"/>
      <c r="AF10" s="368"/>
      <c r="AG10" s="368"/>
      <c r="AH10" s="377"/>
      <c r="AI10" s="377"/>
      <c r="AJ10" s="377"/>
      <c r="AK10" s="374"/>
      <c r="AL10" s="376"/>
      <c r="AM10" s="367"/>
      <c r="AN10" s="368"/>
      <c r="AO10" s="368"/>
      <c r="AP10" s="368"/>
      <c r="AQ10" s="377"/>
      <c r="AR10" s="377"/>
      <c r="AS10" s="377"/>
      <c r="AT10" s="374"/>
      <c r="AU10" s="376"/>
      <c r="AV10" s="367"/>
      <c r="AW10" s="368"/>
      <c r="AX10" s="368"/>
      <c r="AY10" s="368"/>
      <c r="AZ10" s="368"/>
      <c r="BA10" s="368"/>
      <c r="BB10" s="368"/>
      <c r="BC10" s="374"/>
      <c r="BD10" s="376"/>
      <c r="BE10" s="367"/>
      <c r="BF10" s="368"/>
      <c r="BG10" s="368"/>
      <c r="BH10" s="368"/>
      <c r="BI10" s="377"/>
      <c r="BJ10" s="377"/>
      <c r="BK10" s="377"/>
      <c r="BL10" s="374"/>
      <c r="BM10" s="376"/>
      <c r="BN10" s="367"/>
      <c r="BO10" s="368"/>
      <c r="BP10" s="368"/>
      <c r="BQ10" s="368"/>
      <c r="BR10" s="377"/>
      <c r="BS10" s="377"/>
      <c r="BT10" s="377"/>
      <c r="BU10" s="374"/>
      <c r="BV10" s="376"/>
      <c r="BW10" s="367"/>
      <c r="BX10" s="368"/>
      <c r="BY10" s="368"/>
      <c r="BZ10" s="368"/>
      <c r="CA10" s="377"/>
      <c r="CB10" s="377"/>
      <c r="CC10" s="377"/>
      <c r="CD10" s="374"/>
      <c r="CE10" s="376"/>
      <c r="CF10" s="367"/>
      <c r="CG10" s="368"/>
      <c r="CH10" s="368"/>
      <c r="CI10" s="368"/>
      <c r="CJ10" s="377"/>
      <c r="CK10" s="377"/>
      <c r="CL10" s="377"/>
      <c r="CM10" s="374"/>
      <c r="CN10" s="376"/>
      <c r="CO10" s="367"/>
      <c r="CP10" s="368"/>
      <c r="CQ10" s="368"/>
      <c r="CR10" s="368"/>
      <c r="CS10" s="368"/>
      <c r="CT10" s="368"/>
      <c r="CU10" s="368"/>
      <c r="CV10" s="374"/>
      <c r="CW10" s="376"/>
      <c r="CX10" s="367"/>
      <c r="CY10" s="368"/>
      <c r="CZ10" s="368"/>
      <c r="DA10" s="368"/>
      <c r="DB10" s="377"/>
      <c r="DC10" s="377"/>
      <c r="DD10" s="377"/>
      <c r="DE10" s="374"/>
      <c r="DF10" s="376"/>
      <c r="DG10" s="367"/>
      <c r="DH10" s="368"/>
      <c r="DI10" s="368"/>
      <c r="DJ10" s="368"/>
      <c r="DK10" s="377"/>
      <c r="DL10" s="377"/>
      <c r="DM10" s="377"/>
      <c r="DN10" s="374"/>
      <c r="DO10" s="376"/>
      <c r="DP10" s="367"/>
      <c r="DQ10" s="368"/>
      <c r="DR10" s="368"/>
      <c r="DS10" s="368"/>
      <c r="DT10" s="377"/>
      <c r="DU10" s="377"/>
      <c r="DV10" s="377"/>
      <c r="DW10" s="374"/>
      <c r="DX10" s="376"/>
      <c r="DY10" s="367"/>
      <c r="DZ10" s="368"/>
      <c r="EA10" s="368"/>
      <c r="EB10" s="368"/>
      <c r="EC10" s="377"/>
      <c r="ED10" s="377"/>
      <c r="EE10" s="377"/>
      <c r="EF10" s="374"/>
      <c r="EG10" s="376"/>
      <c r="EH10" s="367"/>
      <c r="EI10" s="368"/>
      <c r="EJ10" s="368"/>
      <c r="EK10" s="368"/>
      <c r="EL10" s="377"/>
      <c r="EM10" s="377"/>
      <c r="EN10" s="377"/>
      <c r="EO10" s="374"/>
      <c r="EP10" s="376"/>
    </row>
    <row r="11" spans="2:146" ht="42.65" customHeight="1" x14ac:dyDescent="0.35">
      <c r="B11" t="s">
        <v>67</v>
      </c>
      <c r="C11" s="367" t="s">
        <v>134</v>
      </c>
      <c r="D11" s="368"/>
      <c r="E11" s="368"/>
      <c r="F11" s="98" t="s">
        <v>140</v>
      </c>
      <c r="G11" s="99" t="s">
        <v>115</v>
      </c>
      <c r="H11" s="99" t="s">
        <v>143</v>
      </c>
      <c r="I11" s="99" t="s">
        <v>116</v>
      </c>
      <c r="J11" s="88" t="s">
        <v>144</v>
      </c>
      <c r="K11" s="92" t="s">
        <v>160</v>
      </c>
      <c r="L11" s="367" t="s">
        <v>272</v>
      </c>
      <c r="M11" s="368"/>
      <c r="N11" s="368"/>
      <c r="O11" s="92" t="s">
        <v>273</v>
      </c>
      <c r="P11" s="99" t="s">
        <v>322</v>
      </c>
      <c r="Q11" s="99" t="s">
        <v>323</v>
      </c>
      <c r="R11" s="99" t="s">
        <v>324</v>
      </c>
      <c r="S11" s="92" t="s">
        <v>274</v>
      </c>
      <c r="T11" s="92" t="s">
        <v>275</v>
      </c>
      <c r="U11" s="367" t="s">
        <v>276</v>
      </c>
      <c r="V11" s="368"/>
      <c r="W11" s="368"/>
      <c r="X11" s="92" t="s">
        <v>277</v>
      </c>
      <c r="Y11" s="99" t="s">
        <v>325</v>
      </c>
      <c r="Z11" s="99" t="s">
        <v>326</v>
      </c>
      <c r="AA11" s="99" t="s">
        <v>327</v>
      </c>
      <c r="AB11" s="92" t="s">
        <v>278</v>
      </c>
      <c r="AC11" s="92" t="s">
        <v>279</v>
      </c>
      <c r="AD11" s="367" t="s">
        <v>280</v>
      </c>
      <c r="AE11" s="368"/>
      <c r="AF11" s="368"/>
      <c r="AG11" s="92" t="s">
        <v>281</v>
      </c>
      <c r="AH11" s="99" t="s">
        <v>328</v>
      </c>
      <c r="AI11" s="99" t="s">
        <v>329</v>
      </c>
      <c r="AJ11" s="99" t="s">
        <v>330</v>
      </c>
      <c r="AK11" s="92" t="s">
        <v>282</v>
      </c>
      <c r="AL11" s="92" t="s">
        <v>283</v>
      </c>
      <c r="AM11" s="367" t="s">
        <v>284</v>
      </c>
      <c r="AN11" s="368"/>
      <c r="AO11" s="368"/>
      <c r="AP11" s="92" t="s">
        <v>285</v>
      </c>
      <c r="AQ11" s="99" t="s">
        <v>331</v>
      </c>
      <c r="AR11" s="99" t="s">
        <v>332</v>
      </c>
      <c r="AS11" s="99" t="s">
        <v>333</v>
      </c>
      <c r="AT11" s="92" t="s">
        <v>286</v>
      </c>
      <c r="AU11" s="92" t="s">
        <v>287</v>
      </c>
      <c r="AV11" s="367" t="s">
        <v>288</v>
      </c>
      <c r="AW11" s="368"/>
      <c r="AX11" s="368"/>
      <c r="AY11" s="98" t="s">
        <v>289</v>
      </c>
      <c r="AZ11" s="99" t="s">
        <v>334</v>
      </c>
      <c r="BA11" s="99" t="s">
        <v>335</v>
      </c>
      <c r="BB11" s="99" t="s">
        <v>336</v>
      </c>
      <c r="BC11" s="88" t="s">
        <v>290</v>
      </c>
      <c r="BD11" s="92" t="s">
        <v>291</v>
      </c>
      <c r="BE11" s="367" t="s">
        <v>358</v>
      </c>
      <c r="BF11" s="368"/>
      <c r="BG11" s="368"/>
      <c r="BH11" s="92" t="s">
        <v>359</v>
      </c>
      <c r="BI11" s="99" t="s">
        <v>368</v>
      </c>
      <c r="BJ11" s="99" t="s">
        <v>369</v>
      </c>
      <c r="BK11" s="99" t="s">
        <v>370</v>
      </c>
      <c r="BL11" s="92" t="s">
        <v>360</v>
      </c>
      <c r="BM11" s="92" t="s">
        <v>361</v>
      </c>
      <c r="BN11" s="367" t="s">
        <v>392</v>
      </c>
      <c r="BO11" s="368"/>
      <c r="BP11" s="368"/>
      <c r="BQ11" s="92" t="s">
        <v>393</v>
      </c>
      <c r="BR11" s="99" t="s">
        <v>402</v>
      </c>
      <c r="BS11" s="99" t="s">
        <v>403</v>
      </c>
      <c r="BT11" s="99" t="s">
        <v>404</v>
      </c>
      <c r="BU11" s="92" t="s">
        <v>394</v>
      </c>
      <c r="BV11" s="92" t="s">
        <v>395</v>
      </c>
      <c r="BW11" s="367" t="s">
        <v>426</v>
      </c>
      <c r="BX11" s="368"/>
      <c r="BY11" s="368"/>
      <c r="BZ11" s="92" t="s">
        <v>427</v>
      </c>
      <c r="CA11" s="99" t="s">
        <v>428</v>
      </c>
      <c r="CB11" s="99" t="s">
        <v>429</v>
      </c>
      <c r="CC11" s="99" t="s">
        <v>430</v>
      </c>
      <c r="CD11" s="92" t="s">
        <v>431</v>
      </c>
      <c r="CE11" s="92" t="s">
        <v>432</v>
      </c>
      <c r="CF11" s="367" t="s">
        <v>460</v>
      </c>
      <c r="CG11" s="368"/>
      <c r="CH11" s="368"/>
      <c r="CI11" s="92" t="s">
        <v>461</v>
      </c>
      <c r="CJ11" s="99" t="s">
        <v>462</v>
      </c>
      <c r="CK11" s="99" t="s">
        <v>463</v>
      </c>
      <c r="CL11" s="99" t="s">
        <v>464</v>
      </c>
      <c r="CM11" s="92" t="s">
        <v>465</v>
      </c>
      <c r="CN11" s="92" t="s">
        <v>466</v>
      </c>
      <c r="CO11" s="367" t="s">
        <v>497</v>
      </c>
      <c r="CP11" s="368"/>
      <c r="CQ11" s="368"/>
      <c r="CR11" s="98" t="s">
        <v>498</v>
      </c>
      <c r="CS11" s="99" t="s">
        <v>473</v>
      </c>
      <c r="CT11" s="99" t="s">
        <v>474</v>
      </c>
      <c r="CU11" s="99" t="s">
        <v>475</v>
      </c>
      <c r="CV11" s="95" t="s">
        <v>499</v>
      </c>
      <c r="CW11" s="96" t="s">
        <v>500</v>
      </c>
      <c r="CX11" s="367" t="s">
        <v>528</v>
      </c>
      <c r="CY11" s="368"/>
      <c r="CZ11" s="368"/>
      <c r="DA11" s="96" t="s">
        <v>529</v>
      </c>
      <c r="DB11" s="99" t="s">
        <v>530</v>
      </c>
      <c r="DC11" s="99" t="s">
        <v>531</v>
      </c>
      <c r="DD11" s="99" t="s">
        <v>532</v>
      </c>
      <c r="DE11" s="96" t="s">
        <v>533</v>
      </c>
      <c r="DF11" s="96" t="s">
        <v>534</v>
      </c>
      <c r="DG11" s="367" t="s">
        <v>562</v>
      </c>
      <c r="DH11" s="368"/>
      <c r="DI11" s="368"/>
      <c r="DJ11" s="96" t="s">
        <v>563</v>
      </c>
      <c r="DK11" s="99" t="s">
        <v>564</v>
      </c>
      <c r="DL11" s="99" t="s">
        <v>565</v>
      </c>
      <c r="DM11" s="99" t="s">
        <v>566</v>
      </c>
      <c r="DN11" s="96" t="s">
        <v>567</v>
      </c>
      <c r="DO11" s="96" t="s">
        <v>568</v>
      </c>
      <c r="DP11" s="367" t="s">
        <v>596</v>
      </c>
      <c r="DQ11" s="368"/>
      <c r="DR11" s="368"/>
      <c r="DS11" s="96" t="s">
        <v>597</v>
      </c>
      <c r="DT11" s="99" t="s">
        <v>598</v>
      </c>
      <c r="DU11" s="99" t="s">
        <v>599</v>
      </c>
      <c r="DV11" s="99" t="s">
        <v>600</v>
      </c>
      <c r="DW11" s="96" t="s">
        <v>601</v>
      </c>
      <c r="DX11" s="96" t="s">
        <v>602</v>
      </c>
      <c r="DY11" s="367" t="s">
        <v>630</v>
      </c>
      <c r="DZ11" s="368"/>
      <c r="EA11" s="368"/>
      <c r="EB11" s="96" t="s">
        <v>631</v>
      </c>
      <c r="EC11" s="99" t="s">
        <v>632</v>
      </c>
      <c r="ED11" s="99" t="s">
        <v>633</v>
      </c>
      <c r="EE11" s="99" t="s">
        <v>634</v>
      </c>
      <c r="EF11" s="96" t="s">
        <v>635</v>
      </c>
      <c r="EG11" s="96" t="s">
        <v>636</v>
      </c>
      <c r="EH11" s="367" t="s">
        <v>664</v>
      </c>
      <c r="EI11" s="368"/>
      <c r="EJ11" s="368"/>
      <c r="EK11" s="96" t="s">
        <v>665</v>
      </c>
      <c r="EL11" s="99" t="s">
        <v>666</v>
      </c>
      <c r="EM11" s="99" t="s">
        <v>667</v>
      </c>
      <c r="EN11" s="99" t="s">
        <v>668</v>
      </c>
      <c r="EO11" s="96" t="s">
        <v>669</v>
      </c>
      <c r="EP11" s="84" t="s">
        <v>670</v>
      </c>
    </row>
    <row r="12" spans="2:146" ht="14.5" customHeight="1" x14ac:dyDescent="0.35">
      <c r="B12" t="s">
        <v>23</v>
      </c>
      <c r="C12" s="367" t="s">
        <v>135</v>
      </c>
      <c r="D12" s="368"/>
      <c r="E12" s="368"/>
      <c r="F12" s="368" t="s">
        <v>141</v>
      </c>
      <c r="K12" s="100"/>
      <c r="L12" s="367" t="s">
        <v>292</v>
      </c>
      <c r="M12" s="368"/>
      <c r="N12" s="368"/>
      <c r="O12" s="368" t="s">
        <v>293</v>
      </c>
      <c r="T12" s="47"/>
      <c r="U12" s="367" t="s">
        <v>294</v>
      </c>
      <c r="V12" s="368"/>
      <c r="W12" s="368"/>
      <c r="X12" s="368" t="s">
        <v>295</v>
      </c>
      <c r="AC12" s="47"/>
      <c r="AD12" s="367" t="s">
        <v>296</v>
      </c>
      <c r="AE12" s="368"/>
      <c r="AF12" s="368"/>
      <c r="AG12" s="368" t="s">
        <v>297</v>
      </c>
      <c r="AL12" s="47"/>
      <c r="AM12" s="367" t="s">
        <v>298</v>
      </c>
      <c r="AN12" s="368"/>
      <c r="AO12" s="368"/>
      <c r="AP12" s="368" t="s">
        <v>299</v>
      </c>
      <c r="AU12" s="47"/>
      <c r="AV12" s="367" t="s">
        <v>300</v>
      </c>
      <c r="AW12" s="368"/>
      <c r="AX12" s="368"/>
      <c r="AY12" s="368" t="s">
        <v>301</v>
      </c>
      <c r="BD12" s="47"/>
      <c r="BE12" s="367" t="s">
        <v>362</v>
      </c>
      <c r="BF12" s="368"/>
      <c r="BG12" s="368"/>
      <c r="BH12" s="368" t="s">
        <v>363</v>
      </c>
      <c r="BM12" s="47"/>
      <c r="BN12" s="367" t="s">
        <v>396</v>
      </c>
      <c r="BO12" s="368"/>
      <c r="BP12" s="368"/>
      <c r="BQ12" s="368" t="s">
        <v>397</v>
      </c>
      <c r="BV12" s="47"/>
      <c r="BW12" s="367" t="s">
        <v>433</v>
      </c>
      <c r="BX12" s="368"/>
      <c r="BY12" s="368"/>
      <c r="BZ12" s="368" t="s">
        <v>434</v>
      </c>
      <c r="CE12" s="47"/>
      <c r="CF12" s="367" t="s">
        <v>467</v>
      </c>
      <c r="CG12" s="368"/>
      <c r="CH12" s="368"/>
      <c r="CI12" s="368" t="s">
        <v>468</v>
      </c>
      <c r="CN12" s="47"/>
      <c r="CO12" s="367" t="s">
        <v>501</v>
      </c>
      <c r="CP12" s="368"/>
      <c r="CQ12" s="368"/>
      <c r="CR12" s="368" t="s">
        <v>502</v>
      </c>
      <c r="CW12" s="47"/>
      <c r="CX12" s="367" t="s">
        <v>535</v>
      </c>
      <c r="CY12" s="368"/>
      <c r="CZ12" s="368"/>
      <c r="DA12" s="368" t="s">
        <v>536</v>
      </c>
      <c r="DF12" s="47"/>
      <c r="DG12" s="367" t="s">
        <v>569</v>
      </c>
      <c r="DH12" s="368"/>
      <c r="DI12" s="368"/>
      <c r="DJ12" s="368" t="s">
        <v>570</v>
      </c>
      <c r="DO12" s="47"/>
      <c r="DP12" s="367" t="s">
        <v>603</v>
      </c>
      <c r="DQ12" s="368"/>
      <c r="DR12" s="368"/>
      <c r="DS12" s="368" t="s">
        <v>604</v>
      </c>
      <c r="DX12" s="47"/>
      <c r="DY12" s="367" t="s">
        <v>637</v>
      </c>
      <c r="DZ12" s="368"/>
      <c r="EA12" s="368"/>
      <c r="EB12" s="368" t="s">
        <v>638</v>
      </c>
      <c r="EG12" s="47"/>
      <c r="EH12" s="367" t="s">
        <v>671</v>
      </c>
      <c r="EI12" s="368"/>
      <c r="EJ12" s="368"/>
      <c r="EK12" s="368" t="s">
        <v>672</v>
      </c>
      <c r="EP12" s="47"/>
    </row>
    <row r="13" spans="2:146" x14ac:dyDescent="0.35">
      <c r="B13" t="s">
        <v>68</v>
      </c>
      <c r="C13" s="367"/>
      <c r="D13" s="368"/>
      <c r="E13" s="368"/>
      <c r="F13" s="368"/>
      <c r="L13" s="367"/>
      <c r="M13" s="368"/>
      <c r="N13" s="368"/>
      <c r="O13" s="368"/>
      <c r="T13" s="47"/>
      <c r="U13" s="367"/>
      <c r="V13" s="368"/>
      <c r="W13" s="368"/>
      <c r="X13" s="368"/>
      <c r="AC13" s="47"/>
      <c r="AD13" s="367"/>
      <c r="AE13" s="368"/>
      <c r="AF13" s="368"/>
      <c r="AG13" s="368"/>
      <c r="AL13" s="47"/>
      <c r="AM13" s="367"/>
      <c r="AN13" s="368"/>
      <c r="AO13" s="368"/>
      <c r="AP13" s="368"/>
      <c r="AU13" s="47"/>
      <c r="AV13" s="367"/>
      <c r="AW13" s="368"/>
      <c r="AX13" s="368"/>
      <c r="AY13" s="368"/>
      <c r="BD13" s="47"/>
      <c r="BE13" s="367"/>
      <c r="BF13" s="368"/>
      <c r="BG13" s="368"/>
      <c r="BH13" s="368"/>
      <c r="BM13" s="47"/>
      <c r="BN13" s="367"/>
      <c r="BO13" s="368"/>
      <c r="BP13" s="368"/>
      <c r="BQ13" s="368"/>
      <c r="BV13" s="47"/>
      <c r="BW13" s="367"/>
      <c r="BX13" s="368"/>
      <c r="BY13" s="368"/>
      <c r="BZ13" s="368"/>
      <c r="CE13" s="47"/>
      <c r="CF13" s="367"/>
      <c r="CG13" s="368"/>
      <c r="CH13" s="368"/>
      <c r="CI13" s="368"/>
      <c r="CN13" s="47"/>
      <c r="CO13" s="367"/>
      <c r="CP13" s="368"/>
      <c r="CQ13" s="368"/>
      <c r="CR13" s="368"/>
      <c r="CW13" s="47"/>
      <c r="CX13" s="367"/>
      <c r="CY13" s="368"/>
      <c r="CZ13" s="368"/>
      <c r="DA13" s="368"/>
      <c r="DF13" s="47"/>
      <c r="DG13" s="367"/>
      <c r="DH13" s="368"/>
      <c r="DI13" s="368"/>
      <c r="DJ13" s="368"/>
      <c r="DO13" s="47"/>
      <c r="DP13" s="367"/>
      <c r="DQ13" s="368"/>
      <c r="DR13" s="368"/>
      <c r="DS13" s="368"/>
      <c r="DX13" s="47"/>
      <c r="DY13" s="367"/>
      <c r="DZ13" s="368"/>
      <c r="EA13" s="368"/>
      <c r="EB13" s="368"/>
      <c r="EG13" s="47"/>
      <c r="EH13" s="367"/>
      <c r="EI13" s="368"/>
      <c r="EJ13" s="368"/>
      <c r="EK13" s="368"/>
      <c r="EP13" s="47"/>
    </row>
    <row r="14" spans="2:146" x14ac:dyDescent="0.35">
      <c r="B14" t="s">
        <v>69</v>
      </c>
      <c r="C14" s="367"/>
      <c r="D14" s="368"/>
      <c r="E14" s="368"/>
      <c r="F14" s="368"/>
      <c r="K14" s="47"/>
      <c r="L14" s="367"/>
      <c r="M14" s="368"/>
      <c r="N14" s="368"/>
      <c r="O14" s="368"/>
      <c r="T14" s="47"/>
      <c r="U14" s="367"/>
      <c r="V14" s="368"/>
      <c r="W14" s="368"/>
      <c r="X14" s="368"/>
      <c r="AC14" s="47"/>
      <c r="AD14" s="367"/>
      <c r="AE14" s="368"/>
      <c r="AF14" s="368"/>
      <c r="AG14" s="368"/>
      <c r="AL14" s="47"/>
      <c r="AM14" s="367"/>
      <c r="AN14" s="368"/>
      <c r="AO14" s="368"/>
      <c r="AP14" s="368"/>
      <c r="AU14" s="47"/>
      <c r="AV14" s="367"/>
      <c r="AW14" s="368"/>
      <c r="AX14" s="368"/>
      <c r="AY14" s="368"/>
      <c r="BE14" s="367"/>
      <c r="BF14" s="368"/>
      <c r="BG14" s="368"/>
      <c r="BH14" s="368"/>
      <c r="BM14" s="47"/>
      <c r="BN14" s="367"/>
      <c r="BO14" s="368"/>
      <c r="BP14" s="368"/>
      <c r="BQ14" s="368"/>
      <c r="BV14" s="47"/>
      <c r="BW14" s="367"/>
      <c r="BX14" s="368"/>
      <c r="BY14" s="368"/>
      <c r="BZ14" s="368"/>
      <c r="CE14" s="47"/>
      <c r="CF14" s="367"/>
      <c r="CG14" s="368"/>
      <c r="CH14" s="368"/>
      <c r="CI14" s="368"/>
      <c r="CN14" s="47"/>
      <c r="CO14" s="367"/>
      <c r="CP14" s="368"/>
      <c r="CQ14" s="368"/>
      <c r="CR14" s="368"/>
      <c r="CW14" s="47"/>
      <c r="CX14" s="367"/>
      <c r="CY14" s="368"/>
      <c r="CZ14" s="368"/>
      <c r="DA14" s="368"/>
      <c r="DF14" s="47"/>
      <c r="DG14" s="367"/>
      <c r="DH14" s="368"/>
      <c r="DI14" s="368"/>
      <c r="DJ14" s="368"/>
      <c r="DO14" s="47"/>
      <c r="DP14" s="367"/>
      <c r="DQ14" s="368"/>
      <c r="DR14" s="368"/>
      <c r="DS14" s="368"/>
      <c r="DX14" s="47"/>
      <c r="DY14" s="367"/>
      <c r="DZ14" s="368"/>
      <c r="EA14" s="368"/>
      <c r="EB14" s="368"/>
      <c r="EG14" s="47"/>
      <c r="EH14" s="367"/>
      <c r="EI14" s="368"/>
      <c r="EJ14" s="368"/>
      <c r="EK14" s="368"/>
      <c r="EP14" s="47"/>
    </row>
    <row r="15" spans="2:146" x14ac:dyDescent="0.35">
      <c r="B15" t="s">
        <v>70</v>
      </c>
      <c r="C15" s="367"/>
      <c r="D15" s="368"/>
      <c r="E15" s="368"/>
      <c r="F15" s="368"/>
      <c r="K15" s="47"/>
      <c r="L15" s="367"/>
      <c r="M15" s="368"/>
      <c r="N15" s="368"/>
      <c r="O15" s="368"/>
      <c r="T15" s="47"/>
      <c r="U15" s="367"/>
      <c r="V15" s="368"/>
      <c r="W15" s="368"/>
      <c r="X15" s="368"/>
      <c r="AC15" s="47"/>
      <c r="AD15" s="367"/>
      <c r="AE15" s="368"/>
      <c r="AF15" s="368"/>
      <c r="AG15" s="368"/>
      <c r="AL15" s="47"/>
      <c r="AM15" s="367"/>
      <c r="AN15" s="368"/>
      <c r="AO15" s="368"/>
      <c r="AP15" s="368"/>
      <c r="AU15" s="47"/>
      <c r="AV15" s="367"/>
      <c r="AW15" s="368"/>
      <c r="AX15" s="368"/>
      <c r="AY15" s="368"/>
      <c r="BE15" s="367"/>
      <c r="BF15" s="368"/>
      <c r="BG15" s="368"/>
      <c r="BH15" s="368"/>
      <c r="BM15" s="47"/>
      <c r="BN15" s="367"/>
      <c r="BO15" s="368"/>
      <c r="BP15" s="368"/>
      <c r="BQ15" s="368"/>
      <c r="BV15" s="47"/>
      <c r="BW15" s="367"/>
      <c r="BX15" s="368"/>
      <c r="BY15" s="368"/>
      <c r="BZ15" s="368"/>
      <c r="CE15" s="47"/>
      <c r="CF15" s="367"/>
      <c r="CG15" s="368"/>
      <c r="CH15" s="368"/>
      <c r="CI15" s="368"/>
      <c r="CN15" s="47"/>
      <c r="CO15" s="367"/>
      <c r="CP15" s="368"/>
      <c r="CQ15" s="368"/>
      <c r="CR15" s="368"/>
      <c r="CW15" s="47"/>
      <c r="CX15" s="367"/>
      <c r="CY15" s="368"/>
      <c r="CZ15" s="368"/>
      <c r="DA15" s="368"/>
      <c r="DF15" s="47"/>
      <c r="DG15" s="367"/>
      <c r="DH15" s="368"/>
      <c r="DI15" s="368"/>
      <c r="DJ15" s="368"/>
      <c r="DO15" s="47"/>
      <c r="DP15" s="367"/>
      <c r="DQ15" s="368"/>
      <c r="DR15" s="368"/>
      <c r="DS15" s="368"/>
      <c r="DX15" s="47"/>
      <c r="DY15" s="367"/>
      <c r="DZ15" s="368"/>
      <c r="EA15" s="368"/>
      <c r="EB15" s="368"/>
      <c r="EG15" s="47"/>
      <c r="EH15" s="367"/>
      <c r="EI15" s="368"/>
      <c r="EJ15" s="368"/>
      <c r="EK15" s="368"/>
      <c r="EP15" s="47"/>
    </row>
    <row r="16" spans="2:146" x14ac:dyDescent="0.35">
      <c r="B16" t="s">
        <v>71</v>
      </c>
      <c r="C16" s="369" t="s">
        <v>136</v>
      </c>
      <c r="D16" s="370"/>
      <c r="E16" s="370"/>
      <c r="F16" s="93" t="s">
        <v>142</v>
      </c>
      <c r="K16" s="47"/>
      <c r="L16" s="369" t="s">
        <v>302</v>
      </c>
      <c r="M16" s="370"/>
      <c r="N16" s="370"/>
      <c r="O16" s="93" t="s">
        <v>303</v>
      </c>
      <c r="T16" s="47"/>
      <c r="U16" s="369" t="s">
        <v>304</v>
      </c>
      <c r="V16" s="370"/>
      <c r="W16" s="370"/>
      <c r="X16" s="93" t="s">
        <v>305</v>
      </c>
      <c r="AC16" s="47"/>
      <c r="AD16" s="369" t="s">
        <v>306</v>
      </c>
      <c r="AE16" s="370"/>
      <c r="AF16" s="370"/>
      <c r="AG16" s="93" t="s">
        <v>307</v>
      </c>
      <c r="AL16" s="47"/>
      <c r="AM16" s="369" t="s">
        <v>308</v>
      </c>
      <c r="AN16" s="370"/>
      <c r="AO16" s="370"/>
      <c r="AP16" s="93" t="s">
        <v>309</v>
      </c>
      <c r="AU16" s="47"/>
      <c r="AV16" s="369" t="s">
        <v>310</v>
      </c>
      <c r="AW16" s="370"/>
      <c r="AX16" s="370"/>
      <c r="AY16" s="93" t="s">
        <v>311</v>
      </c>
      <c r="BE16" s="369" t="s">
        <v>364</v>
      </c>
      <c r="BF16" s="370"/>
      <c r="BG16" s="370"/>
      <c r="BH16" s="93" t="s">
        <v>365</v>
      </c>
      <c r="BM16" s="47"/>
      <c r="BN16" s="369" t="s">
        <v>398</v>
      </c>
      <c r="BO16" s="370"/>
      <c r="BP16" s="370"/>
      <c r="BQ16" s="93" t="s">
        <v>399</v>
      </c>
      <c r="BV16" s="47"/>
      <c r="BW16" s="369" t="s">
        <v>435</v>
      </c>
      <c r="BX16" s="370"/>
      <c r="BY16" s="370"/>
      <c r="BZ16" s="93" t="s">
        <v>436</v>
      </c>
      <c r="CE16" s="47"/>
      <c r="CF16" s="369" t="s">
        <v>469</v>
      </c>
      <c r="CG16" s="370"/>
      <c r="CH16" s="370"/>
      <c r="CI16" s="93" t="s">
        <v>470</v>
      </c>
      <c r="CN16" s="47"/>
      <c r="CO16" s="369" t="s">
        <v>503</v>
      </c>
      <c r="CP16" s="370"/>
      <c r="CQ16" s="370"/>
      <c r="CR16" s="97" t="s">
        <v>504</v>
      </c>
      <c r="CW16" s="47"/>
      <c r="CX16" s="369" t="s">
        <v>537</v>
      </c>
      <c r="CY16" s="370"/>
      <c r="CZ16" s="370"/>
      <c r="DA16" s="97" t="s">
        <v>538</v>
      </c>
      <c r="DF16" s="47"/>
      <c r="DG16" s="369" t="s">
        <v>571</v>
      </c>
      <c r="DH16" s="370"/>
      <c r="DI16" s="370"/>
      <c r="DJ16" s="97" t="s">
        <v>572</v>
      </c>
      <c r="DO16" s="47"/>
      <c r="DP16" s="369" t="s">
        <v>605</v>
      </c>
      <c r="DQ16" s="370"/>
      <c r="DR16" s="370"/>
      <c r="DS16" s="97" t="s">
        <v>606</v>
      </c>
      <c r="DX16" s="47"/>
      <c r="DY16" s="369" t="s">
        <v>639</v>
      </c>
      <c r="DZ16" s="370"/>
      <c r="EA16" s="370"/>
      <c r="EB16" s="97" t="s">
        <v>640</v>
      </c>
      <c r="EG16" s="47"/>
      <c r="EH16" s="369" t="s">
        <v>673</v>
      </c>
      <c r="EI16" s="370"/>
      <c r="EJ16" s="370"/>
      <c r="EK16" s="97" t="s">
        <v>674</v>
      </c>
      <c r="EP16" s="47"/>
    </row>
    <row r="17" spans="2:146" x14ac:dyDescent="0.35">
      <c r="B17" t="s">
        <v>72</v>
      </c>
      <c r="C17" s="369" t="s">
        <v>123</v>
      </c>
      <c r="D17" s="370"/>
      <c r="E17" s="370"/>
      <c r="F17" s="93" t="s">
        <v>124</v>
      </c>
      <c r="K17" s="47"/>
      <c r="L17" s="369" t="s">
        <v>312</v>
      </c>
      <c r="M17" s="370"/>
      <c r="N17" s="370"/>
      <c r="O17" s="93" t="s">
        <v>313</v>
      </c>
      <c r="T17" s="47"/>
      <c r="U17" s="369" t="s">
        <v>314</v>
      </c>
      <c r="V17" s="370"/>
      <c r="W17" s="370"/>
      <c r="X17" s="93" t="s">
        <v>315</v>
      </c>
      <c r="AC17" s="47"/>
      <c r="AD17" s="369" t="s">
        <v>316</v>
      </c>
      <c r="AE17" s="370"/>
      <c r="AF17" s="370"/>
      <c r="AG17" s="93" t="s">
        <v>317</v>
      </c>
      <c r="AL17" s="47"/>
      <c r="AM17" s="369" t="s">
        <v>318</v>
      </c>
      <c r="AN17" s="370"/>
      <c r="AO17" s="370"/>
      <c r="AP17" s="93" t="s">
        <v>319</v>
      </c>
      <c r="AU17" s="47"/>
      <c r="AV17" s="369" t="s">
        <v>320</v>
      </c>
      <c r="AW17" s="370"/>
      <c r="AX17" s="370"/>
      <c r="AY17" s="93" t="s">
        <v>321</v>
      </c>
      <c r="BD17" s="47"/>
      <c r="BE17" s="369" t="s">
        <v>366</v>
      </c>
      <c r="BF17" s="370"/>
      <c r="BG17" s="370"/>
      <c r="BH17" s="93" t="s">
        <v>367</v>
      </c>
      <c r="BM17" s="47"/>
      <c r="BN17" s="369" t="s">
        <v>400</v>
      </c>
      <c r="BO17" s="370"/>
      <c r="BP17" s="370"/>
      <c r="BQ17" s="93" t="s">
        <v>401</v>
      </c>
      <c r="BV17" s="47"/>
      <c r="BW17" s="369" t="s">
        <v>437</v>
      </c>
      <c r="BX17" s="370"/>
      <c r="BY17" s="370"/>
      <c r="BZ17" s="93" t="s">
        <v>438</v>
      </c>
      <c r="CE17" s="47"/>
      <c r="CF17" s="369" t="s">
        <v>471</v>
      </c>
      <c r="CG17" s="370"/>
      <c r="CH17" s="370"/>
      <c r="CI17" s="93" t="s">
        <v>472</v>
      </c>
      <c r="CN17" s="47"/>
      <c r="CO17" s="369" t="s">
        <v>505</v>
      </c>
      <c r="CP17" s="370"/>
      <c r="CQ17" s="370"/>
      <c r="CR17" s="97" t="s">
        <v>506</v>
      </c>
      <c r="CW17" s="47"/>
      <c r="CX17" s="369" t="s">
        <v>539</v>
      </c>
      <c r="CY17" s="370"/>
      <c r="CZ17" s="370"/>
      <c r="DA17" s="97" t="s">
        <v>540</v>
      </c>
      <c r="DF17" s="47"/>
      <c r="DG17" s="369" t="s">
        <v>573</v>
      </c>
      <c r="DH17" s="370"/>
      <c r="DI17" s="370"/>
      <c r="DJ17" s="97" t="s">
        <v>574</v>
      </c>
      <c r="DO17" s="47"/>
      <c r="DP17" s="369" t="s">
        <v>607</v>
      </c>
      <c r="DQ17" s="370"/>
      <c r="DR17" s="370"/>
      <c r="DS17" s="97" t="s">
        <v>608</v>
      </c>
      <c r="DX17" s="47"/>
      <c r="DY17" s="369" t="s">
        <v>641</v>
      </c>
      <c r="DZ17" s="370"/>
      <c r="EA17" s="370"/>
      <c r="EB17" s="97" t="s">
        <v>642</v>
      </c>
      <c r="EG17" s="47"/>
      <c r="EH17" s="369" t="s">
        <v>675</v>
      </c>
      <c r="EI17" s="370"/>
      <c r="EJ17" s="370"/>
      <c r="EK17" s="97" t="s">
        <v>676</v>
      </c>
      <c r="EP17" s="47"/>
    </row>
    <row r="18" spans="2:146" x14ac:dyDescent="0.35">
      <c r="C18" s="10"/>
      <c r="D18" s="11"/>
      <c r="E18" s="11"/>
      <c r="F18" s="11"/>
      <c r="G18" s="11"/>
      <c r="H18" s="11"/>
      <c r="I18" s="11"/>
      <c r="J18" s="11"/>
      <c r="K18" s="47"/>
      <c r="L18" s="10"/>
      <c r="M18" s="11"/>
      <c r="N18" s="11"/>
      <c r="O18" s="11"/>
      <c r="P18" s="11"/>
      <c r="Q18" s="11"/>
      <c r="R18" s="11"/>
      <c r="S18" s="11"/>
      <c r="T18" s="47"/>
      <c r="U18" s="10"/>
      <c r="V18" s="11"/>
      <c r="W18" s="11"/>
      <c r="X18" s="11"/>
      <c r="Y18" s="11"/>
      <c r="Z18" s="11"/>
      <c r="AA18" s="11"/>
      <c r="AB18" s="11"/>
      <c r="AC18" s="47"/>
      <c r="AD18" s="10"/>
      <c r="AE18" s="11"/>
      <c r="AF18" s="11"/>
      <c r="AG18" s="11"/>
      <c r="AH18" s="11"/>
      <c r="AI18" s="11"/>
      <c r="AJ18" s="11"/>
      <c r="AK18" s="11"/>
      <c r="AL18" s="47"/>
      <c r="AM18" s="10"/>
      <c r="AN18" s="11"/>
      <c r="AO18" s="11"/>
      <c r="AP18" s="11"/>
      <c r="AQ18" s="11"/>
      <c r="AR18" s="11"/>
      <c r="AS18" s="11"/>
      <c r="AT18" s="11"/>
      <c r="AU18" s="47"/>
      <c r="AV18" s="10"/>
      <c r="AW18" s="11"/>
      <c r="AX18" s="11"/>
      <c r="AY18" s="11"/>
      <c r="AZ18" s="11"/>
      <c r="BA18" s="11"/>
      <c r="BB18" s="11"/>
      <c r="BC18" s="11"/>
      <c r="BD18" s="47"/>
      <c r="BE18" s="10"/>
      <c r="BF18" s="11"/>
      <c r="BG18" s="11"/>
      <c r="BH18" s="11"/>
      <c r="BI18" s="11"/>
      <c r="BJ18" s="11"/>
      <c r="BK18" s="11"/>
      <c r="BL18" s="11"/>
      <c r="BM18" s="47"/>
      <c r="BN18" s="10"/>
      <c r="BO18" s="11"/>
      <c r="BP18" s="11"/>
      <c r="BQ18" s="11"/>
      <c r="BR18" s="11"/>
      <c r="BS18" s="11"/>
      <c r="BT18" s="11"/>
      <c r="BU18" s="11"/>
      <c r="BV18" s="47"/>
      <c r="BW18" s="10"/>
      <c r="BX18" s="11"/>
      <c r="BY18" s="11"/>
      <c r="BZ18" s="11"/>
      <c r="CA18" s="11"/>
      <c r="CB18" s="11"/>
      <c r="CC18" s="11"/>
      <c r="CD18" s="11"/>
      <c r="CE18" s="47"/>
      <c r="CF18" s="10"/>
      <c r="CG18" s="11"/>
      <c r="CH18" s="11"/>
      <c r="CI18" s="11"/>
      <c r="CJ18" s="11"/>
      <c r="CK18" s="11"/>
      <c r="CL18" s="11"/>
      <c r="CM18" s="11"/>
      <c r="CN18" s="47"/>
      <c r="CO18" s="10"/>
      <c r="CP18" s="11"/>
      <c r="CQ18" s="11"/>
      <c r="CR18" s="11"/>
      <c r="CS18" s="11"/>
      <c r="CT18" s="11"/>
      <c r="CU18" s="11"/>
      <c r="CV18" s="11"/>
      <c r="CW18" s="47"/>
      <c r="CX18" s="369"/>
      <c r="CY18" s="370"/>
      <c r="CZ18" s="370"/>
      <c r="DA18" s="97"/>
      <c r="DF18" s="47"/>
      <c r="DG18" s="369"/>
      <c r="DH18" s="370"/>
      <c r="DI18" s="370"/>
      <c r="DJ18" s="97"/>
      <c r="DO18" s="47"/>
      <c r="DP18" s="369"/>
      <c r="DQ18" s="370"/>
      <c r="DR18" s="370"/>
      <c r="DS18" s="97"/>
      <c r="DX18" s="47"/>
      <c r="DY18" s="369"/>
      <c r="DZ18" s="370"/>
      <c r="EA18" s="370"/>
      <c r="EB18" s="97"/>
      <c r="EG18" s="47"/>
      <c r="EH18" s="369"/>
      <c r="EI18" s="370"/>
      <c r="EJ18" s="370"/>
      <c r="EK18" s="97"/>
      <c r="EP18" s="47"/>
    </row>
    <row r="19" spans="2:146" x14ac:dyDescent="0.35">
      <c r="C19" s="3"/>
      <c r="E19" s="183"/>
      <c r="CX19" s="369"/>
      <c r="CY19" s="370"/>
      <c r="CZ19" s="370"/>
      <c r="DA19" s="97"/>
      <c r="DF19" s="47"/>
      <c r="DG19" s="369"/>
      <c r="DH19" s="370"/>
      <c r="DI19" s="370"/>
      <c r="DJ19" s="97"/>
      <c r="DO19" s="47"/>
      <c r="DP19" s="369"/>
      <c r="DQ19" s="370"/>
      <c r="DR19" s="370"/>
      <c r="DS19" s="97"/>
      <c r="DX19" s="47"/>
      <c r="DY19" s="369"/>
      <c r="DZ19" s="370"/>
      <c r="EA19" s="370"/>
      <c r="EB19" s="97"/>
      <c r="EG19" s="47"/>
      <c r="EH19" s="369"/>
      <c r="EI19" s="370"/>
      <c r="EJ19" s="370"/>
      <c r="EK19" s="97"/>
      <c r="EP19" s="47"/>
    </row>
    <row r="20" spans="2:146" x14ac:dyDescent="0.35">
      <c r="B20" s="85" t="s">
        <v>164</v>
      </c>
      <c r="C20" s="3"/>
      <c r="E20" s="183" t="s">
        <v>1194</v>
      </c>
    </row>
    <row r="21" spans="2:146" x14ac:dyDescent="0.35">
      <c r="B21" s="86" t="s">
        <v>1195</v>
      </c>
      <c r="C21" s="3"/>
      <c r="E21" s="183"/>
    </row>
    <row r="22" spans="2:146" x14ac:dyDescent="0.35">
      <c r="B22" s="91" t="s">
        <v>166</v>
      </c>
    </row>
    <row r="23" spans="2:146" x14ac:dyDescent="0.35">
      <c r="B23" s="87" t="s">
        <v>165</v>
      </c>
      <c r="C23" s="354">
        <f t="shared" ref="C23:AH23" si="114">C2</f>
        <v>2010</v>
      </c>
      <c r="D23" s="354">
        <f t="shared" si="114"/>
        <v>0</v>
      </c>
      <c r="E23" s="354">
        <f t="shared" si="114"/>
        <v>0</v>
      </c>
      <c r="F23" s="354">
        <f t="shared" si="114"/>
        <v>0</v>
      </c>
      <c r="G23" s="354">
        <f t="shared" si="114"/>
        <v>0</v>
      </c>
      <c r="H23" s="354">
        <f t="shared" si="114"/>
        <v>0</v>
      </c>
      <c r="I23" s="354">
        <f t="shared" si="114"/>
        <v>0</v>
      </c>
      <c r="J23" s="354">
        <f t="shared" si="114"/>
        <v>0</v>
      </c>
      <c r="K23" s="354">
        <f t="shared" si="114"/>
        <v>0</v>
      </c>
      <c r="L23" s="354">
        <f t="shared" si="114"/>
        <v>2011</v>
      </c>
      <c r="M23" s="354">
        <f t="shared" si="114"/>
        <v>0</v>
      </c>
      <c r="N23" s="354">
        <f t="shared" si="114"/>
        <v>0</v>
      </c>
      <c r="O23" s="354">
        <f t="shared" si="114"/>
        <v>0</v>
      </c>
      <c r="P23" s="354">
        <f t="shared" si="114"/>
        <v>0</v>
      </c>
      <c r="Q23" s="354">
        <f t="shared" si="114"/>
        <v>0</v>
      </c>
      <c r="R23" s="354">
        <f t="shared" si="114"/>
        <v>0</v>
      </c>
      <c r="S23" s="354">
        <f t="shared" si="114"/>
        <v>0</v>
      </c>
      <c r="T23" s="354">
        <f t="shared" si="114"/>
        <v>0</v>
      </c>
      <c r="U23" s="354">
        <f t="shared" si="114"/>
        <v>2012</v>
      </c>
      <c r="V23" s="354">
        <f t="shared" si="114"/>
        <v>0</v>
      </c>
      <c r="W23" s="354">
        <f t="shared" si="114"/>
        <v>0</v>
      </c>
      <c r="X23" s="354">
        <f t="shared" si="114"/>
        <v>0</v>
      </c>
      <c r="Y23" s="354">
        <f t="shared" si="114"/>
        <v>0</v>
      </c>
      <c r="Z23" s="354">
        <f t="shared" si="114"/>
        <v>0</v>
      </c>
      <c r="AA23" s="354">
        <f t="shared" si="114"/>
        <v>0</v>
      </c>
      <c r="AB23" s="354">
        <f t="shared" si="114"/>
        <v>0</v>
      </c>
      <c r="AC23" s="354">
        <f t="shared" si="114"/>
        <v>0</v>
      </c>
      <c r="AD23" s="354">
        <f t="shared" si="114"/>
        <v>2013</v>
      </c>
      <c r="AE23" s="354">
        <f t="shared" si="114"/>
        <v>0</v>
      </c>
      <c r="AF23" s="354">
        <f t="shared" si="114"/>
        <v>0</v>
      </c>
      <c r="AG23" s="354">
        <f t="shared" si="114"/>
        <v>0</v>
      </c>
      <c r="AH23" s="354">
        <f t="shared" si="114"/>
        <v>0</v>
      </c>
      <c r="AI23" s="354">
        <f t="shared" ref="AI23:BN23" si="115">AI2</f>
        <v>0</v>
      </c>
      <c r="AJ23" s="354">
        <f t="shared" si="115"/>
        <v>0</v>
      </c>
      <c r="AK23" s="354">
        <f t="shared" si="115"/>
        <v>0</v>
      </c>
      <c r="AL23" s="354">
        <f t="shared" si="115"/>
        <v>0</v>
      </c>
      <c r="AM23" s="354">
        <f t="shared" si="115"/>
        <v>2014</v>
      </c>
      <c r="AN23" s="354">
        <f t="shared" si="115"/>
        <v>0</v>
      </c>
      <c r="AO23" s="354">
        <f t="shared" si="115"/>
        <v>0</v>
      </c>
      <c r="AP23" s="354">
        <f t="shared" si="115"/>
        <v>0</v>
      </c>
      <c r="AQ23" s="354">
        <f t="shared" si="115"/>
        <v>0</v>
      </c>
      <c r="AR23" s="354">
        <f t="shared" si="115"/>
        <v>0</v>
      </c>
      <c r="AS23" s="354">
        <f t="shared" si="115"/>
        <v>0</v>
      </c>
      <c r="AT23" s="354">
        <f t="shared" si="115"/>
        <v>0</v>
      </c>
      <c r="AU23" s="354">
        <f t="shared" si="115"/>
        <v>0</v>
      </c>
      <c r="AV23" s="354">
        <f t="shared" si="115"/>
        <v>2015</v>
      </c>
      <c r="AW23" s="354">
        <f t="shared" si="115"/>
        <v>0</v>
      </c>
      <c r="AX23" s="354">
        <f t="shared" si="115"/>
        <v>0</v>
      </c>
      <c r="AY23" s="354">
        <f t="shared" si="115"/>
        <v>0</v>
      </c>
      <c r="AZ23" s="354">
        <f t="shared" si="115"/>
        <v>0</v>
      </c>
      <c r="BA23" s="354">
        <f t="shared" si="115"/>
        <v>0</v>
      </c>
      <c r="BB23" s="354">
        <f t="shared" si="115"/>
        <v>0</v>
      </c>
      <c r="BC23" s="354">
        <f t="shared" si="115"/>
        <v>0</v>
      </c>
      <c r="BD23" s="354">
        <f t="shared" si="115"/>
        <v>0</v>
      </c>
      <c r="BE23" s="354">
        <f t="shared" si="115"/>
        <v>2016</v>
      </c>
      <c r="BF23" s="354">
        <f t="shared" si="115"/>
        <v>0</v>
      </c>
      <c r="BG23" s="354">
        <f t="shared" si="115"/>
        <v>0</v>
      </c>
      <c r="BH23" s="354">
        <f t="shared" si="115"/>
        <v>0</v>
      </c>
      <c r="BI23" s="354">
        <f t="shared" si="115"/>
        <v>0</v>
      </c>
      <c r="BJ23" s="354">
        <f t="shared" si="115"/>
        <v>0</v>
      </c>
      <c r="BK23" s="354">
        <f t="shared" si="115"/>
        <v>0</v>
      </c>
      <c r="BL23" s="354">
        <f t="shared" si="115"/>
        <v>0</v>
      </c>
      <c r="BM23" s="354">
        <f t="shared" si="115"/>
        <v>0</v>
      </c>
      <c r="BN23" s="354">
        <f t="shared" si="115"/>
        <v>2017</v>
      </c>
      <c r="BO23" s="354">
        <f t="shared" ref="BO23:CN23" si="116">BO2</f>
        <v>0</v>
      </c>
      <c r="BP23" s="354">
        <f t="shared" si="116"/>
        <v>0</v>
      </c>
      <c r="BQ23" s="354">
        <f t="shared" si="116"/>
        <v>0</v>
      </c>
      <c r="BR23" s="354">
        <f t="shared" si="116"/>
        <v>0</v>
      </c>
      <c r="BS23" s="354">
        <f t="shared" si="116"/>
        <v>0</v>
      </c>
      <c r="BT23" s="354">
        <f t="shared" si="116"/>
        <v>0</v>
      </c>
      <c r="BU23" s="354">
        <f t="shared" si="116"/>
        <v>0</v>
      </c>
      <c r="BV23" s="354">
        <f t="shared" si="116"/>
        <v>0</v>
      </c>
      <c r="BW23" s="354">
        <f t="shared" si="116"/>
        <v>2018</v>
      </c>
      <c r="BX23" s="354">
        <f t="shared" si="116"/>
        <v>0</v>
      </c>
      <c r="BY23" s="354">
        <f t="shared" si="116"/>
        <v>0</v>
      </c>
      <c r="BZ23" s="354">
        <f t="shared" si="116"/>
        <v>0</v>
      </c>
      <c r="CA23" s="354">
        <f t="shared" si="116"/>
        <v>0</v>
      </c>
      <c r="CB23" s="354">
        <f t="shared" si="116"/>
        <v>0</v>
      </c>
      <c r="CC23" s="354">
        <f t="shared" si="116"/>
        <v>0</v>
      </c>
      <c r="CD23" s="354">
        <f t="shared" si="116"/>
        <v>0</v>
      </c>
      <c r="CE23" s="354">
        <f t="shared" si="116"/>
        <v>0</v>
      </c>
      <c r="CF23" s="354">
        <f t="shared" si="116"/>
        <v>2019</v>
      </c>
      <c r="CG23" s="354">
        <f t="shared" si="116"/>
        <v>0</v>
      </c>
      <c r="CH23" s="354">
        <f t="shared" si="116"/>
        <v>0</v>
      </c>
      <c r="CI23" s="354">
        <f t="shared" si="116"/>
        <v>0</v>
      </c>
      <c r="CJ23" s="354">
        <f t="shared" si="116"/>
        <v>0</v>
      </c>
      <c r="CK23" s="354">
        <f t="shared" si="116"/>
        <v>0</v>
      </c>
      <c r="CL23" s="354">
        <f t="shared" si="116"/>
        <v>0</v>
      </c>
      <c r="CM23" s="354">
        <f t="shared" si="116"/>
        <v>0</v>
      </c>
      <c r="CN23" s="354">
        <f t="shared" si="116"/>
        <v>0</v>
      </c>
      <c r="CO23" s="354">
        <v>2020</v>
      </c>
      <c r="CP23" s="354">
        <v>0</v>
      </c>
      <c r="CQ23" s="354">
        <v>0</v>
      </c>
      <c r="CR23" s="354">
        <v>0</v>
      </c>
      <c r="CS23" s="354">
        <v>0</v>
      </c>
      <c r="CT23" s="354">
        <v>0</v>
      </c>
      <c r="CU23" s="354">
        <v>0</v>
      </c>
      <c r="CV23" s="354">
        <v>0</v>
      </c>
      <c r="CW23" s="354">
        <v>0</v>
      </c>
      <c r="CX23" s="354">
        <f t="shared" ref="CX23:DF23" si="117">CX2</f>
        <v>2021</v>
      </c>
      <c r="CY23" s="354">
        <f t="shared" si="117"/>
        <v>0</v>
      </c>
      <c r="CZ23" s="354">
        <f t="shared" si="117"/>
        <v>0</v>
      </c>
      <c r="DA23" s="354">
        <f t="shared" si="117"/>
        <v>0</v>
      </c>
      <c r="DB23" s="354">
        <f t="shared" si="117"/>
        <v>0</v>
      </c>
      <c r="DC23" s="354">
        <f t="shared" si="117"/>
        <v>0</v>
      </c>
      <c r="DD23" s="354">
        <f t="shared" si="117"/>
        <v>0</v>
      </c>
      <c r="DE23" s="354">
        <f t="shared" si="117"/>
        <v>0</v>
      </c>
      <c r="DF23" s="354">
        <f t="shared" si="117"/>
        <v>0</v>
      </c>
      <c r="DG23" s="354">
        <f t="shared" ref="DG23:DO23" si="118">DG2</f>
        <v>2022</v>
      </c>
      <c r="DH23" s="354">
        <f t="shared" si="118"/>
        <v>0</v>
      </c>
      <c r="DI23" s="354">
        <f t="shared" si="118"/>
        <v>0</v>
      </c>
      <c r="DJ23" s="354">
        <f t="shared" si="118"/>
        <v>0</v>
      </c>
      <c r="DK23" s="354">
        <f t="shared" si="118"/>
        <v>0</v>
      </c>
      <c r="DL23" s="354">
        <f t="shared" si="118"/>
        <v>0</v>
      </c>
      <c r="DM23" s="354">
        <f t="shared" si="118"/>
        <v>0</v>
      </c>
      <c r="DN23" s="354">
        <f t="shared" si="118"/>
        <v>0</v>
      </c>
      <c r="DO23" s="354">
        <f t="shared" si="118"/>
        <v>0</v>
      </c>
      <c r="DP23" s="354">
        <f t="shared" ref="DP23:DX23" si="119">DP2</f>
        <v>2023</v>
      </c>
      <c r="DQ23" s="354">
        <f t="shared" si="119"/>
        <v>0</v>
      </c>
      <c r="DR23" s="354">
        <f t="shared" si="119"/>
        <v>0</v>
      </c>
      <c r="DS23" s="354">
        <f t="shared" si="119"/>
        <v>0</v>
      </c>
      <c r="DT23" s="354">
        <f t="shared" si="119"/>
        <v>0</v>
      </c>
      <c r="DU23" s="354">
        <f t="shared" si="119"/>
        <v>0</v>
      </c>
      <c r="DV23" s="354">
        <f t="shared" si="119"/>
        <v>0</v>
      </c>
      <c r="DW23" s="354">
        <f t="shared" si="119"/>
        <v>0</v>
      </c>
      <c r="DX23" s="354">
        <f t="shared" si="119"/>
        <v>0</v>
      </c>
      <c r="DY23" s="354">
        <f t="shared" ref="DY23:EG23" si="120">DY2</f>
        <v>2024</v>
      </c>
      <c r="DZ23" s="354">
        <f t="shared" si="120"/>
        <v>0</v>
      </c>
      <c r="EA23" s="354">
        <f t="shared" si="120"/>
        <v>0</v>
      </c>
      <c r="EB23" s="354">
        <f t="shared" si="120"/>
        <v>0</v>
      </c>
      <c r="EC23" s="354">
        <f t="shared" si="120"/>
        <v>0</v>
      </c>
      <c r="ED23" s="354">
        <f t="shared" si="120"/>
        <v>0</v>
      </c>
      <c r="EE23" s="354">
        <f t="shared" si="120"/>
        <v>0</v>
      </c>
      <c r="EF23" s="354">
        <f t="shared" si="120"/>
        <v>0</v>
      </c>
      <c r="EG23" s="354">
        <f t="shared" si="120"/>
        <v>0</v>
      </c>
      <c r="EH23" s="354">
        <f t="shared" ref="EH23:EP23" si="121">EH2</f>
        <v>2025</v>
      </c>
      <c r="EI23" s="354">
        <f t="shared" si="121"/>
        <v>0</v>
      </c>
      <c r="EJ23" s="354">
        <f t="shared" si="121"/>
        <v>0</v>
      </c>
      <c r="EK23" s="354">
        <f t="shared" si="121"/>
        <v>0</v>
      </c>
      <c r="EL23" s="354">
        <f t="shared" si="121"/>
        <v>0</v>
      </c>
      <c r="EM23" s="354">
        <f t="shared" si="121"/>
        <v>0</v>
      </c>
      <c r="EN23" s="354">
        <f t="shared" si="121"/>
        <v>0</v>
      </c>
      <c r="EO23" s="354">
        <f t="shared" si="121"/>
        <v>0</v>
      </c>
      <c r="EP23" s="354">
        <f t="shared" si="121"/>
        <v>0</v>
      </c>
    </row>
    <row r="24" spans="2:146" x14ac:dyDescent="0.35">
      <c r="C24" s="355" t="str">
        <f t="shared" ref="C24:AH24" si="122">C3</f>
        <v>2015 évi áron</v>
      </c>
      <c r="D24" s="352">
        <f t="shared" si="122"/>
        <v>0</v>
      </c>
      <c r="E24" s="352">
        <f t="shared" si="122"/>
        <v>0</v>
      </c>
      <c r="F24" s="352">
        <f t="shared" si="122"/>
        <v>0</v>
      </c>
      <c r="G24" s="352">
        <f t="shared" si="122"/>
        <v>0</v>
      </c>
      <c r="H24" s="352">
        <f t="shared" si="122"/>
        <v>0</v>
      </c>
      <c r="I24" s="352">
        <f t="shared" si="122"/>
        <v>0</v>
      </c>
      <c r="J24" s="352">
        <f t="shared" si="122"/>
        <v>0</v>
      </c>
      <c r="K24" s="384">
        <f t="shared" si="122"/>
        <v>0</v>
      </c>
      <c r="L24" s="355" t="str">
        <f t="shared" si="122"/>
        <v>2015 évi áron</v>
      </c>
      <c r="M24" s="352">
        <f t="shared" si="122"/>
        <v>0</v>
      </c>
      <c r="N24" s="352">
        <f t="shared" si="122"/>
        <v>0</v>
      </c>
      <c r="O24" s="352">
        <f t="shared" si="122"/>
        <v>0</v>
      </c>
      <c r="P24" s="352">
        <f t="shared" si="122"/>
        <v>0</v>
      </c>
      <c r="Q24" s="352">
        <f t="shared" si="122"/>
        <v>0</v>
      </c>
      <c r="R24" s="352">
        <f t="shared" si="122"/>
        <v>0</v>
      </c>
      <c r="S24" s="352">
        <f t="shared" si="122"/>
        <v>0</v>
      </c>
      <c r="T24" s="384">
        <f t="shared" si="122"/>
        <v>0</v>
      </c>
      <c r="U24" s="355" t="str">
        <f t="shared" si="122"/>
        <v>2015 évi áron</v>
      </c>
      <c r="V24" s="352">
        <f t="shared" si="122"/>
        <v>0</v>
      </c>
      <c r="W24" s="352">
        <f t="shared" si="122"/>
        <v>0</v>
      </c>
      <c r="X24" s="352">
        <f t="shared" si="122"/>
        <v>0</v>
      </c>
      <c r="Y24" s="352">
        <f t="shared" si="122"/>
        <v>0</v>
      </c>
      <c r="Z24" s="352">
        <f t="shared" si="122"/>
        <v>0</v>
      </c>
      <c r="AA24" s="352">
        <f t="shared" si="122"/>
        <v>0</v>
      </c>
      <c r="AB24" s="352">
        <f t="shared" si="122"/>
        <v>0</v>
      </c>
      <c r="AC24" s="384">
        <f t="shared" si="122"/>
        <v>0</v>
      </c>
      <c r="AD24" s="355" t="str">
        <f t="shared" si="122"/>
        <v>2015 évi áron</v>
      </c>
      <c r="AE24" s="352">
        <f t="shared" si="122"/>
        <v>0</v>
      </c>
      <c r="AF24" s="352">
        <f t="shared" si="122"/>
        <v>0</v>
      </c>
      <c r="AG24" s="352">
        <f t="shared" si="122"/>
        <v>0</v>
      </c>
      <c r="AH24" s="352">
        <f t="shared" si="122"/>
        <v>0</v>
      </c>
      <c r="AI24" s="352">
        <f t="shared" ref="AI24:BN24" si="123">AI3</f>
        <v>0</v>
      </c>
      <c r="AJ24" s="352">
        <f t="shared" si="123"/>
        <v>0</v>
      </c>
      <c r="AK24" s="352">
        <f t="shared" si="123"/>
        <v>0</v>
      </c>
      <c r="AL24" s="384">
        <f t="shared" si="123"/>
        <v>0</v>
      </c>
      <c r="AM24" s="355" t="str">
        <f t="shared" si="123"/>
        <v>2015 évi áron</v>
      </c>
      <c r="AN24" s="352">
        <f t="shared" si="123"/>
        <v>0</v>
      </c>
      <c r="AO24" s="352">
        <f t="shared" si="123"/>
        <v>0</v>
      </c>
      <c r="AP24" s="352">
        <f t="shared" si="123"/>
        <v>0</v>
      </c>
      <c r="AQ24" s="352">
        <f t="shared" si="123"/>
        <v>0</v>
      </c>
      <c r="AR24" s="352">
        <f t="shared" si="123"/>
        <v>0</v>
      </c>
      <c r="AS24" s="352">
        <f t="shared" si="123"/>
        <v>0</v>
      </c>
      <c r="AT24" s="352">
        <f t="shared" si="123"/>
        <v>0</v>
      </c>
      <c r="AU24" s="384">
        <f t="shared" si="123"/>
        <v>0</v>
      </c>
      <c r="AV24" s="355" t="str">
        <f t="shared" si="123"/>
        <v>2015 évi áron</v>
      </c>
      <c r="AW24" s="352">
        <f t="shared" si="123"/>
        <v>0</v>
      </c>
      <c r="AX24" s="352">
        <f t="shared" si="123"/>
        <v>0</v>
      </c>
      <c r="AY24" s="352">
        <f t="shared" si="123"/>
        <v>0</v>
      </c>
      <c r="AZ24" s="352">
        <f t="shared" si="123"/>
        <v>0</v>
      </c>
      <c r="BA24" s="352">
        <f t="shared" si="123"/>
        <v>0</v>
      </c>
      <c r="BB24" s="352">
        <f t="shared" si="123"/>
        <v>0</v>
      </c>
      <c r="BC24" s="352">
        <f t="shared" si="123"/>
        <v>0</v>
      </c>
      <c r="BD24" s="384">
        <f t="shared" si="123"/>
        <v>0</v>
      </c>
      <c r="BE24" s="355" t="str">
        <f t="shared" si="123"/>
        <v>2015 évi áron</v>
      </c>
      <c r="BF24" s="352">
        <f t="shared" si="123"/>
        <v>0</v>
      </c>
      <c r="BG24" s="352">
        <f t="shared" si="123"/>
        <v>0</v>
      </c>
      <c r="BH24" s="352">
        <f t="shared" si="123"/>
        <v>0</v>
      </c>
      <c r="BI24" s="352">
        <f t="shared" si="123"/>
        <v>0</v>
      </c>
      <c r="BJ24" s="352">
        <f t="shared" si="123"/>
        <v>0</v>
      </c>
      <c r="BK24" s="352">
        <f t="shared" si="123"/>
        <v>0</v>
      </c>
      <c r="BL24" s="352">
        <f t="shared" si="123"/>
        <v>0</v>
      </c>
      <c r="BM24" s="384">
        <f t="shared" si="123"/>
        <v>0</v>
      </c>
      <c r="BN24" s="355" t="str">
        <f t="shared" si="123"/>
        <v>2015 évi áron</v>
      </c>
      <c r="BO24" s="352">
        <f t="shared" ref="BO24:CN24" si="124">BO3</f>
        <v>0</v>
      </c>
      <c r="BP24" s="352">
        <f t="shared" si="124"/>
        <v>0</v>
      </c>
      <c r="BQ24" s="352">
        <f t="shared" si="124"/>
        <v>0</v>
      </c>
      <c r="BR24" s="352">
        <f t="shared" si="124"/>
        <v>0</v>
      </c>
      <c r="BS24" s="352">
        <f t="shared" si="124"/>
        <v>0</v>
      </c>
      <c r="BT24" s="352">
        <f t="shared" si="124"/>
        <v>0</v>
      </c>
      <c r="BU24" s="352">
        <f t="shared" si="124"/>
        <v>0</v>
      </c>
      <c r="BV24" s="384">
        <f t="shared" si="124"/>
        <v>0</v>
      </c>
      <c r="BW24" s="355" t="str">
        <f t="shared" si="124"/>
        <v>2015 évi áron</v>
      </c>
      <c r="BX24" s="352">
        <f t="shared" si="124"/>
        <v>0</v>
      </c>
      <c r="BY24" s="352">
        <f t="shared" si="124"/>
        <v>0</v>
      </c>
      <c r="BZ24" s="352">
        <f t="shared" si="124"/>
        <v>0</v>
      </c>
      <c r="CA24" s="352">
        <f t="shared" si="124"/>
        <v>0</v>
      </c>
      <c r="CB24" s="352">
        <f t="shared" si="124"/>
        <v>0</v>
      </c>
      <c r="CC24" s="352">
        <f t="shared" si="124"/>
        <v>0</v>
      </c>
      <c r="CD24" s="352">
        <f t="shared" si="124"/>
        <v>0</v>
      </c>
      <c r="CE24" s="384">
        <f t="shared" si="124"/>
        <v>0</v>
      </c>
      <c r="CF24" s="355" t="str">
        <f t="shared" si="124"/>
        <v>2015 évi áron</v>
      </c>
      <c r="CG24" s="352">
        <f t="shared" si="124"/>
        <v>0</v>
      </c>
      <c r="CH24" s="352">
        <f t="shared" si="124"/>
        <v>0</v>
      </c>
      <c r="CI24" s="352">
        <f t="shared" si="124"/>
        <v>0</v>
      </c>
      <c r="CJ24" s="352">
        <f t="shared" si="124"/>
        <v>0</v>
      </c>
      <c r="CK24" s="352">
        <f t="shared" si="124"/>
        <v>0</v>
      </c>
      <c r="CL24" s="352">
        <f t="shared" si="124"/>
        <v>0</v>
      </c>
      <c r="CM24" s="352">
        <f t="shared" si="124"/>
        <v>0</v>
      </c>
      <c r="CN24" s="384">
        <f t="shared" si="124"/>
        <v>0</v>
      </c>
      <c r="CO24" s="355" t="s">
        <v>82</v>
      </c>
      <c r="CP24" s="352">
        <v>0</v>
      </c>
      <c r="CQ24" s="352">
        <v>0</v>
      </c>
      <c r="CR24" s="352">
        <v>0</v>
      </c>
      <c r="CS24" s="352">
        <v>0</v>
      </c>
      <c r="CT24" s="352">
        <v>0</v>
      </c>
      <c r="CU24" s="352">
        <v>0</v>
      </c>
      <c r="CV24" s="352">
        <v>0</v>
      </c>
      <c r="CW24" s="384">
        <v>0</v>
      </c>
      <c r="CX24" s="355" t="str">
        <f t="shared" ref="CX24:DF24" si="125">CX3</f>
        <v>2015 évi áron</v>
      </c>
      <c r="CY24" s="352">
        <f t="shared" si="125"/>
        <v>0</v>
      </c>
      <c r="CZ24" s="352">
        <f t="shared" si="125"/>
        <v>0</v>
      </c>
      <c r="DA24" s="352">
        <f t="shared" si="125"/>
        <v>0</v>
      </c>
      <c r="DB24" s="352">
        <f t="shared" si="125"/>
        <v>0</v>
      </c>
      <c r="DC24" s="352">
        <f t="shared" si="125"/>
        <v>0</v>
      </c>
      <c r="DD24" s="352">
        <f t="shared" si="125"/>
        <v>0</v>
      </c>
      <c r="DE24" s="352">
        <f t="shared" si="125"/>
        <v>0</v>
      </c>
      <c r="DF24" s="384">
        <f t="shared" si="125"/>
        <v>0</v>
      </c>
      <c r="DG24" s="355" t="str">
        <f t="shared" ref="DG24:DO24" si="126">DG3</f>
        <v>2015 évi áron</v>
      </c>
      <c r="DH24" s="352">
        <f t="shared" si="126"/>
        <v>0</v>
      </c>
      <c r="DI24" s="352">
        <f t="shared" si="126"/>
        <v>0</v>
      </c>
      <c r="DJ24" s="352">
        <f t="shared" si="126"/>
        <v>0</v>
      </c>
      <c r="DK24" s="352">
        <f t="shared" si="126"/>
        <v>0</v>
      </c>
      <c r="DL24" s="352">
        <f t="shared" si="126"/>
        <v>0</v>
      </c>
      <c r="DM24" s="352">
        <f t="shared" si="126"/>
        <v>0</v>
      </c>
      <c r="DN24" s="352">
        <f t="shared" si="126"/>
        <v>0</v>
      </c>
      <c r="DO24" s="384">
        <f t="shared" si="126"/>
        <v>0</v>
      </c>
      <c r="DP24" s="355" t="str">
        <f t="shared" ref="DP24:DX24" si="127">DP3</f>
        <v>2015 évi áron</v>
      </c>
      <c r="DQ24" s="352">
        <f t="shared" si="127"/>
        <v>0</v>
      </c>
      <c r="DR24" s="352">
        <f t="shared" si="127"/>
        <v>0</v>
      </c>
      <c r="DS24" s="352">
        <f t="shared" si="127"/>
        <v>0</v>
      </c>
      <c r="DT24" s="352">
        <f t="shared" si="127"/>
        <v>0</v>
      </c>
      <c r="DU24" s="352">
        <f t="shared" si="127"/>
        <v>0</v>
      </c>
      <c r="DV24" s="352">
        <f t="shared" si="127"/>
        <v>0</v>
      </c>
      <c r="DW24" s="352">
        <f t="shared" si="127"/>
        <v>0</v>
      </c>
      <c r="DX24" s="384">
        <f t="shared" si="127"/>
        <v>0</v>
      </c>
      <c r="DY24" s="355" t="str">
        <f t="shared" ref="DY24:EG24" si="128">DY3</f>
        <v>2015 évi áron</v>
      </c>
      <c r="DZ24" s="352">
        <f t="shared" si="128"/>
        <v>0</v>
      </c>
      <c r="EA24" s="352">
        <f t="shared" si="128"/>
        <v>0</v>
      </c>
      <c r="EB24" s="352">
        <f t="shared" si="128"/>
        <v>0</v>
      </c>
      <c r="EC24" s="352">
        <f t="shared" si="128"/>
        <v>0</v>
      </c>
      <c r="ED24" s="352">
        <f t="shared" si="128"/>
        <v>0</v>
      </c>
      <c r="EE24" s="352">
        <f t="shared" si="128"/>
        <v>0</v>
      </c>
      <c r="EF24" s="352">
        <f t="shared" si="128"/>
        <v>0</v>
      </c>
      <c r="EG24" s="384">
        <f t="shared" si="128"/>
        <v>0</v>
      </c>
      <c r="EH24" s="355" t="str">
        <f t="shared" ref="EH24:EP24" si="129">EH3</f>
        <v>2015 évi áron</v>
      </c>
      <c r="EI24" s="352">
        <f t="shared" si="129"/>
        <v>0</v>
      </c>
      <c r="EJ24" s="352">
        <f t="shared" si="129"/>
        <v>0</v>
      </c>
      <c r="EK24" s="352">
        <f t="shared" si="129"/>
        <v>0</v>
      </c>
      <c r="EL24" s="352">
        <f t="shared" si="129"/>
        <v>0</v>
      </c>
      <c r="EM24" s="352">
        <f t="shared" si="129"/>
        <v>0</v>
      </c>
      <c r="EN24" s="352">
        <f t="shared" si="129"/>
        <v>0</v>
      </c>
      <c r="EO24" s="352">
        <f t="shared" si="129"/>
        <v>0</v>
      </c>
      <c r="EP24" s="384">
        <f t="shared" si="129"/>
        <v>0</v>
      </c>
    </row>
    <row r="25" spans="2:146" ht="58.5" thickBot="1" x14ac:dyDescent="0.4">
      <c r="C25" s="245" t="str">
        <f t="shared" ref="C25:AH25" si="130">C4</f>
        <v>Upstream</v>
      </c>
      <c r="D25" s="245" t="str">
        <f t="shared" si="130"/>
        <v>Gyártás</v>
      </c>
      <c r="E25" s="245" t="str">
        <f t="shared" si="130"/>
        <v>Downstream</v>
      </c>
      <c r="F25" s="83" t="str">
        <f t="shared" si="130"/>
        <v>Összes input</v>
      </c>
      <c r="G25" s="245" t="str">
        <f t="shared" si="130"/>
        <v>Végső fogyasztási kiadás összesen</v>
      </c>
      <c r="H25" s="245" t="str">
        <f t="shared" si="130"/>
        <v>Bruttó felhalmozás összesen</v>
      </c>
      <c r="I25" s="245" t="str">
        <f t="shared" si="130"/>
        <v>Export összesen</v>
      </c>
      <c r="J25" s="83" t="str">
        <f t="shared" si="130"/>
        <v>Végső felhasználás összesen</v>
      </c>
      <c r="K25" s="83" t="str">
        <f t="shared" si="130"/>
        <v>Felhasználás összesen</v>
      </c>
      <c r="L25" s="245" t="str">
        <f t="shared" si="130"/>
        <v>Upstream</v>
      </c>
      <c r="M25" s="245" t="str">
        <f t="shared" si="130"/>
        <v>Gyártás</v>
      </c>
      <c r="N25" s="245" t="str">
        <f t="shared" si="130"/>
        <v>Downstream</v>
      </c>
      <c r="O25" s="83" t="str">
        <f t="shared" si="130"/>
        <v>Összes input</v>
      </c>
      <c r="P25" s="245" t="str">
        <f t="shared" si="130"/>
        <v>Végső fogyasztási kiadás összesen</v>
      </c>
      <c r="Q25" s="245" t="str">
        <f t="shared" si="130"/>
        <v>Bruttó felhalmozás összesen</v>
      </c>
      <c r="R25" s="245" t="str">
        <f t="shared" si="130"/>
        <v>Export összesen</v>
      </c>
      <c r="S25" s="83" t="str">
        <f t="shared" si="130"/>
        <v>Végső felhasználás összesen</v>
      </c>
      <c r="T25" s="319" t="str">
        <f t="shared" si="130"/>
        <v>Felhasználás összesen</v>
      </c>
      <c r="U25" s="83" t="str">
        <f t="shared" si="130"/>
        <v>Upstream</v>
      </c>
      <c r="V25" s="83" t="str">
        <f t="shared" si="130"/>
        <v>Gyártás</v>
      </c>
      <c r="W25" s="83" t="str">
        <f t="shared" si="130"/>
        <v>Downstream</v>
      </c>
      <c r="X25" s="83" t="str">
        <f t="shared" si="130"/>
        <v>Összes input</v>
      </c>
      <c r="Y25" s="83" t="str">
        <f t="shared" si="130"/>
        <v>Végső fogyasztási kiadás összesen</v>
      </c>
      <c r="Z25" s="83" t="str">
        <f t="shared" si="130"/>
        <v>Bruttó felhalmozás összesen</v>
      </c>
      <c r="AA25" s="83" t="str">
        <f t="shared" si="130"/>
        <v>Export összesen</v>
      </c>
      <c r="AB25" s="83" t="str">
        <f t="shared" si="130"/>
        <v>Végső felhasználás összesen</v>
      </c>
      <c r="AC25" s="94" t="str">
        <f t="shared" si="130"/>
        <v>Felhasználás összesen</v>
      </c>
      <c r="AD25" s="83" t="str">
        <f t="shared" si="130"/>
        <v>Upstream</v>
      </c>
      <c r="AE25" s="83" t="str">
        <f t="shared" si="130"/>
        <v>Gyártás</v>
      </c>
      <c r="AF25" s="83" t="str">
        <f t="shared" si="130"/>
        <v>Downstream</v>
      </c>
      <c r="AG25" s="83" t="str">
        <f t="shared" si="130"/>
        <v>Összes input</v>
      </c>
      <c r="AH25" s="83" t="str">
        <f t="shared" si="130"/>
        <v>Végső fogyasztási kiadás összesen</v>
      </c>
      <c r="AI25" s="83" t="str">
        <f t="shared" ref="AI25:BN25" si="131">AI4</f>
        <v>Bruttó felhalmozás összesen</v>
      </c>
      <c r="AJ25" s="83" t="str">
        <f t="shared" si="131"/>
        <v>Export összesen</v>
      </c>
      <c r="AK25" s="83" t="str">
        <f t="shared" si="131"/>
        <v>Végső felhasználás összesen</v>
      </c>
      <c r="AL25" s="94" t="str">
        <f t="shared" si="131"/>
        <v>Felhasználás összesen</v>
      </c>
      <c r="AM25" s="83" t="str">
        <f t="shared" si="131"/>
        <v>Upstream</v>
      </c>
      <c r="AN25" s="83" t="str">
        <f t="shared" si="131"/>
        <v>Gyártás</v>
      </c>
      <c r="AO25" s="83" t="str">
        <f t="shared" si="131"/>
        <v>Downstream</v>
      </c>
      <c r="AP25" s="83" t="str">
        <f t="shared" si="131"/>
        <v>Összes input</v>
      </c>
      <c r="AQ25" s="83" t="str">
        <f t="shared" si="131"/>
        <v>Végső fogyasztási kiadás összesen</v>
      </c>
      <c r="AR25" s="83" t="str">
        <f t="shared" si="131"/>
        <v>Bruttó felhalmozás összesen</v>
      </c>
      <c r="AS25" s="83" t="str">
        <f t="shared" si="131"/>
        <v>Export összesen</v>
      </c>
      <c r="AT25" s="83" t="str">
        <f t="shared" si="131"/>
        <v>Végső felhasználás összesen</v>
      </c>
      <c r="AU25" s="94" t="str">
        <f t="shared" si="131"/>
        <v>Felhasználás összesen</v>
      </c>
      <c r="AV25" s="83" t="str">
        <f t="shared" si="131"/>
        <v>Upstream</v>
      </c>
      <c r="AW25" s="83" t="str">
        <f t="shared" si="131"/>
        <v>Gyártás</v>
      </c>
      <c r="AX25" s="83" t="str">
        <f t="shared" si="131"/>
        <v>Downstream</v>
      </c>
      <c r="AY25" s="83" t="str">
        <f t="shared" si="131"/>
        <v>Összes input</v>
      </c>
      <c r="AZ25" s="83" t="str">
        <f t="shared" si="131"/>
        <v>Végső fogyasztási kiadás összesen</v>
      </c>
      <c r="BA25" s="83" t="str">
        <f t="shared" si="131"/>
        <v>Bruttó felhalmozás összesen</v>
      </c>
      <c r="BB25" s="83" t="str">
        <f t="shared" si="131"/>
        <v>Export összesen</v>
      </c>
      <c r="BC25" s="83" t="str">
        <f t="shared" si="131"/>
        <v>Végső felhasználás összesen</v>
      </c>
      <c r="BD25" s="83" t="str">
        <f t="shared" si="131"/>
        <v>Felhasználás összesen</v>
      </c>
      <c r="BE25" s="83" t="str">
        <f t="shared" si="131"/>
        <v>Upstream</v>
      </c>
      <c r="BF25" s="83" t="str">
        <f t="shared" si="131"/>
        <v>Gyártás</v>
      </c>
      <c r="BG25" s="83" t="str">
        <f t="shared" si="131"/>
        <v>Downstream</v>
      </c>
      <c r="BH25" s="83" t="str">
        <f t="shared" si="131"/>
        <v>Összes input</v>
      </c>
      <c r="BI25" s="83" t="str">
        <f t="shared" si="131"/>
        <v>Végső fogyasztási kiadás összesen</v>
      </c>
      <c r="BJ25" s="83" t="str">
        <f t="shared" si="131"/>
        <v>Bruttó felhalmozás összesen</v>
      </c>
      <c r="BK25" s="83" t="str">
        <f t="shared" si="131"/>
        <v>Export összesen</v>
      </c>
      <c r="BL25" s="83" t="str">
        <f t="shared" si="131"/>
        <v>Végső felhasználás összesen</v>
      </c>
      <c r="BM25" s="94" t="str">
        <f t="shared" si="131"/>
        <v>Felhasználás összesen</v>
      </c>
      <c r="BN25" s="83" t="str">
        <f t="shared" si="131"/>
        <v>Upstream</v>
      </c>
      <c r="BO25" s="83" t="str">
        <f t="shared" ref="BO25:CN25" si="132">BO4</f>
        <v>Gyártás</v>
      </c>
      <c r="BP25" s="83" t="str">
        <f t="shared" si="132"/>
        <v>Downstream</v>
      </c>
      <c r="BQ25" s="83" t="str">
        <f t="shared" si="132"/>
        <v>Összes input</v>
      </c>
      <c r="BR25" s="83" t="str">
        <f t="shared" si="132"/>
        <v>Végső fogyasztási kiadás összesen</v>
      </c>
      <c r="BS25" s="83" t="str">
        <f t="shared" si="132"/>
        <v>Bruttó felhalmozás összesen</v>
      </c>
      <c r="BT25" s="83" t="str">
        <f t="shared" si="132"/>
        <v>Export összesen</v>
      </c>
      <c r="BU25" s="83" t="str">
        <f t="shared" si="132"/>
        <v>Végső felhasználás összesen</v>
      </c>
      <c r="BV25" s="94" t="str">
        <f t="shared" si="132"/>
        <v>Felhasználás összesen</v>
      </c>
      <c r="BW25" s="83" t="str">
        <f t="shared" si="132"/>
        <v>Upstream</v>
      </c>
      <c r="BX25" s="83" t="str">
        <f t="shared" si="132"/>
        <v>Gyártás</v>
      </c>
      <c r="BY25" s="83" t="str">
        <f t="shared" si="132"/>
        <v>Downstream</v>
      </c>
      <c r="BZ25" s="83" t="str">
        <f t="shared" si="132"/>
        <v>Összes input</v>
      </c>
      <c r="CA25" s="83" t="str">
        <f t="shared" si="132"/>
        <v>Végső fogyasztási kiadás összesen</v>
      </c>
      <c r="CB25" s="83" t="str">
        <f t="shared" si="132"/>
        <v>Bruttó felhalmozás összesen</v>
      </c>
      <c r="CC25" s="83" t="str">
        <f t="shared" si="132"/>
        <v>Export összesen</v>
      </c>
      <c r="CD25" s="83" t="str">
        <f t="shared" si="132"/>
        <v>Végső felhasználás összesen</v>
      </c>
      <c r="CE25" s="94" t="str">
        <f t="shared" si="132"/>
        <v>Felhasználás összesen</v>
      </c>
      <c r="CF25" s="83" t="str">
        <f t="shared" si="132"/>
        <v>Upstream</v>
      </c>
      <c r="CG25" s="83" t="str">
        <f t="shared" si="132"/>
        <v>Gyártás</v>
      </c>
      <c r="CH25" s="83" t="str">
        <f t="shared" si="132"/>
        <v>Downstream</v>
      </c>
      <c r="CI25" s="83" t="str">
        <f t="shared" si="132"/>
        <v>Összes input</v>
      </c>
      <c r="CJ25" s="83" t="str">
        <f t="shared" si="132"/>
        <v>Végső fogyasztási kiadás összesen</v>
      </c>
      <c r="CK25" s="83" t="str">
        <f t="shared" si="132"/>
        <v>Bruttó felhalmozás összesen</v>
      </c>
      <c r="CL25" s="83" t="str">
        <f t="shared" si="132"/>
        <v>Export összesen</v>
      </c>
      <c r="CM25" s="83" t="str">
        <f t="shared" si="132"/>
        <v>Végső felhasználás összesen</v>
      </c>
      <c r="CN25" s="94" t="str">
        <f t="shared" si="132"/>
        <v>Felhasználás összesen</v>
      </c>
      <c r="CO25" s="83" t="s">
        <v>0</v>
      </c>
      <c r="CP25" s="83" t="s">
        <v>1</v>
      </c>
      <c r="CQ25" s="83" t="s">
        <v>2</v>
      </c>
      <c r="CR25" s="83" t="s">
        <v>73</v>
      </c>
      <c r="CS25" s="83" t="s">
        <v>74</v>
      </c>
      <c r="CT25" s="83" t="s">
        <v>75</v>
      </c>
      <c r="CU25" s="83" t="s">
        <v>76</v>
      </c>
      <c r="CV25" s="83" t="s">
        <v>77</v>
      </c>
      <c r="CW25" s="83" t="s">
        <v>78</v>
      </c>
      <c r="CX25" s="134" t="str">
        <f t="shared" ref="CX25:DF25" si="133">CX4</f>
        <v>Upstream</v>
      </c>
      <c r="CY25" s="134" t="str">
        <f t="shared" si="133"/>
        <v>Gyártás</v>
      </c>
      <c r="CZ25" s="134" t="str">
        <f t="shared" si="133"/>
        <v>Downstream</v>
      </c>
      <c r="DA25" s="134" t="str">
        <f t="shared" si="133"/>
        <v>Összes input</v>
      </c>
      <c r="DB25" s="134" t="str">
        <f t="shared" si="133"/>
        <v>Végső fogyasztási kiadás összesen</v>
      </c>
      <c r="DC25" s="134" t="str">
        <f t="shared" si="133"/>
        <v>Bruttó felhalmozás összesen</v>
      </c>
      <c r="DD25" s="134" t="str">
        <f t="shared" si="133"/>
        <v>Export összesen</v>
      </c>
      <c r="DE25" s="134" t="str">
        <f t="shared" si="133"/>
        <v>Végső felhasználás összesen</v>
      </c>
      <c r="DF25" s="94" t="str">
        <f t="shared" si="133"/>
        <v>Felhasználás összesen</v>
      </c>
      <c r="DG25" s="134" t="str">
        <f t="shared" ref="DG25:DO25" si="134">DG4</f>
        <v>Upstream</v>
      </c>
      <c r="DH25" s="134" t="str">
        <f t="shared" si="134"/>
        <v>Gyártás</v>
      </c>
      <c r="DI25" s="134" t="str">
        <f t="shared" si="134"/>
        <v>Downstream</v>
      </c>
      <c r="DJ25" s="134" t="str">
        <f t="shared" si="134"/>
        <v>Összes input</v>
      </c>
      <c r="DK25" s="134" t="str">
        <f t="shared" si="134"/>
        <v>Végső fogyasztási kiadás összesen</v>
      </c>
      <c r="DL25" s="134" t="str">
        <f t="shared" si="134"/>
        <v>Bruttó felhalmozás összesen</v>
      </c>
      <c r="DM25" s="134" t="str">
        <f t="shared" si="134"/>
        <v>Export összesen</v>
      </c>
      <c r="DN25" s="134" t="str">
        <f t="shared" si="134"/>
        <v>Végső felhasználás összesen</v>
      </c>
      <c r="DO25" s="94" t="str">
        <f t="shared" si="134"/>
        <v>Felhasználás összesen</v>
      </c>
      <c r="DP25" s="134" t="str">
        <f t="shared" ref="DP25:DX25" si="135">DP4</f>
        <v>Upstream</v>
      </c>
      <c r="DQ25" s="134" t="str">
        <f t="shared" si="135"/>
        <v>Gyártás</v>
      </c>
      <c r="DR25" s="134" t="str">
        <f t="shared" si="135"/>
        <v>Downstream</v>
      </c>
      <c r="DS25" s="134" t="str">
        <f t="shared" si="135"/>
        <v>Összes input</v>
      </c>
      <c r="DT25" s="134" t="str">
        <f t="shared" si="135"/>
        <v>Végső fogyasztási kiadás összesen</v>
      </c>
      <c r="DU25" s="134" t="str">
        <f t="shared" si="135"/>
        <v>Bruttó felhalmozás összesen</v>
      </c>
      <c r="DV25" s="134" t="str">
        <f t="shared" si="135"/>
        <v>Export összesen</v>
      </c>
      <c r="DW25" s="134" t="str">
        <f t="shared" si="135"/>
        <v>Végső felhasználás összesen</v>
      </c>
      <c r="DX25" s="94" t="str">
        <f t="shared" si="135"/>
        <v>Felhasználás összesen</v>
      </c>
      <c r="DY25" s="134" t="str">
        <f t="shared" ref="DY25:EG25" si="136">DY4</f>
        <v>Upstream</v>
      </c>
      <c r="DZ25" s="134" t="str">
        <f t="shared" si="136"/>
        <v>Gyártás</v>
      </c>
      <c r="EA25" s="134" t="str">
        <f t="shared" si="136"/>
        <v>Downstream</v>
      </c>
      <c r="EB25" s="134" t="str">
        <f t="shared" si="136"/>
        <v>Összes input</v>
      </c>
      <c r="EC25" s="134" t="str">
        <f t="shared" si="136"/>
        <v>Végső fogyasztási kiadás összesen</v>
      </c>
      <c r="ED25" s="134" t="str">
        <f t="shared" si="136"/>
        <v>Bruttó felhalmozás összesen</v>
      </c>
      <c r="EE25" s="134" t="str">
        <f t="shared" si="136"/>
        <v>Export összesen</v>
      </c>
      <c r="EF25" s="134" t="str">
        <f t="shared" si="136"/>
        <v>Végső felhasználás összesen</v>
      </c>
      <c r="EG25" s="94" t="str">
        <f t="shared" si="136"/>
        <v>Felhasználás összesen</v>
      </c>
      <c r="EH25" s="134" t="str">
        <f t="shared" ref="EH25:EP25" si="137">EH4</f>
        <v>Upstream</v>
      </c>
      <c r="EI25" s="134" t="str">
        <f t="shared" si="137"/>
        <v>Gyártás</v>
      </c>
      <c r="EJ25" s="134" t="str">
        <f t="shared" si="137"/>
        <v>Downstream</v>
      </c>
      <c r="EK25" s="134" t="str">
        <f t="shared" si="137"/>
        <v>Összes input</v>
      </c>
      <c r="EL25" s="134" t="str">
        <f t="shared" si="137"/>
        <v>Végső fogyasztási kiadás összesen</v>
      </c>
      <c r="EM25" s="134" t="str">
        <f t="shared" si="137"/>
        <v>Bruttó felhalmozás összesen</v>
      </c>
      <c r="EN25" s="134" t="str">
        <f t="shared" si="137"/>
        <v>Export összesen</v>
      </c>
      <c r="EO25" s="134" t="str">
        <f t="shared" si="137"/>
        <v>Végső felhasználás összesen</v>
      </c>
      <c r="EP25" s="94" t="str">
        <f t="shared" si="137"/>
        <v>Felhasználás összesen</v>
      </c>
    </row>
    <row r="26" spans="2:146" x14ac:dyDescent="0.35">
      <c r="B26" t="str">
        <f t="shared" ref="B26:B38" si="138">B5</f>
        <v>Upstream</v>
      </c>
      <c r="C26" s="246">
        <v>1637024.0293878803</v>
      </c>
      <c r="D26" s="247">
        <v>3865251.5019729808</v>
      </c>
      <c r="E26" s="248">
        <v>844405.7604289439</v>
      </c>
      <c r="F26" s="90">
        <f>SUM(C26:E26)</f>
        <v>6346681.2917898046</v>
      </c>
      <c r="G26" s="258">
        <v>1259167.7498280469</v>
      </c>
      <c r="H26" s="258">
        <v>209898.93666651222</v>
      </c>
      <c r="I26" s="258">
        <v>2277360.1682211636</v>
      </c>
      <c r="J26" s="90">
        <f>SUM(G26:I26)</f>
        <v>3746426.8547157226</v>
      </c>
      <c r="K26" s="89" cm="1">
        <f t="array" ref="K26:K28">MMULT(_xlfn.ANCHORARRAY(G55),J26:J28)</f>
        <v>10093108.146505527</v>
      </c>
      <c r="L26" s="310">
        <f t="shared" ref="L26:N28" si="139">C26/C$38*L$38</f>
        <v>1694949.7547985173</v>
      </c>
      <c r="M26" s="311">
        <f t="shared" si="139"/>
        <v>4006646.8575881529</v>
      </c>
      <c r="N26" s="312">
        <f t="shared" si="139"/>
        <v>852938.49503588316</v>
      </c>
      <c r="O26" s="90">
        <f>SUM(L26:N26)</f>
        <v>6554535.107422553</v>
      </c>
      <c r="P26" s="310">
        <f t="shared" ref="P26:R28" si="140">P$32*G26/G$32</f>
        <v>1268144.3877529805</v>
      </c>
      <c r="Q26" s="311">
        <f t="shared" si="140"/>
        <v>204283.63706611079</v>
      </c>
      <c r="R26" s="312">
        <f t="shared" si="140"/>
        <v>2423287.3655908555</v>
      </c>
      <c r="S26" s="90">
        <f>SUM(P26:R26)</f>
        <v>3895715.3904099464</v>
      </c>
      <c r="T26" s="320" cm="1">
        <f t="array" ref="T26:T28">MMULT(P55:R57,S26:S28)</f>
        <v>10450250.497832499</v>
      </c>
      <c r="U26" s="310">
        <f>L26/L$38*'Bázis modell AKM-ei'!U$38</f>
        <v>1658248.0736933441</v>
      </c>
      <c r="V26" s="311">
        <f>M26/M$38*'Bázis modell AKM-ei'!V$38</f>
        <v>3913446.3108914425</v>
      </c>
      <c r="W26" s="312">
        <f>N26/N$38*'Bázis modell AKM-ei'!W$38</f>
        <v>835515.04208792862</v>
      </c>
      <c r="X26" s="90">
        <f>SUM(U26:W26)</f>
        <v>6407209.4266727148</v>
      </c>
      <c r="Y26" s="310">
        <f>'Bázis modell AKM-ei'!Y$32*P26/P$32</f>
        <v>1242748.3388744113</v>
      </c>
      <c r="Z26" s="311">
        <f>'Bázis modell AKM-ei'!Z$32*Q26/Q$32</f>
        <v>192007.81746774138</v>
      </c>
      <c r="AA26" s="312">
        <f>'Bázis modell AKM-ei'!AA$32*R26/R$32</f>
        <v>2381999.8817924378</v>
      </c>
      <c r="AB26" s="90">
        <f>SUM(Y26:AA26)</f>
        <v>3816756.0381345907</v>
      </c>
      <c r="AC26" s="320" cm="1">
        <f t="array" ref="AC26:AC28">MMULT(Y55:AA57,AB26:AB28)</f>
        <v>10223965.464807305</v>
      </c>
      <c r="AD26" s="310">
        <f>$AV26/$AV$38*'Bázis modell AKM-ei'!AD$38</f>
        <v>1401621.5460914327</v>
      </c>
      <c r="AE26" s="311">
        <f>$AW26/$AW$38*'Bázis modell AKM-ei'!AE$38</f>
        <v>3451138.3732592608</v>
      </c>
      <c r="AF26" s="312">
        <f>$AX26/$AX$38*'Bázis modell AKM-ei'!AF$38</f>
        <v>764900.06733478548</v>
      </c>
      <c r="AG26" s="90">
        <f>SUM(AD26:AF26)</f>
        <v>5617659.9866854781</v>
      </c>
      <c r="AH26" s="310">
        <f>'Bázis modell AKM-ei'!AH$32*$AZ26/$AZ$32</f>
        <v>1193182.7730961328</v>
      </c>
      <c r="AI26" s="311">
        <f>'Bázis modell AKM-ei'!AI$32*$BA26/$BA$32</f>
        <v>479525.81474094157</v>
      </c>
      <c r="AJ26" s="312">
        <f>'Bázis modell AKM-ei'!AJ$32*$BB26/$BB$32</f>
        <v>2567032.8395623504</v>
      </c>
      <c r="AK26" s="90">
        <f>SUM(AH26:AJ26)</f>
        <v>4239741.4273994248</v>
      </c>
      <c r="AL26" s="320" cm="1">
        <f t="array" ref="AL26:AL28">MMULT(AH55:AJ57,AK26:AK28)</f>
        <v>9857401.4140849058</v>
      </c>
      <c r="AM26" s="310">
        <f>$AV26/$AV$38*'Bázis modell AKM-ei'!AM$38</f>
        <v>1508962.2009310739</v>
      </c>
      <c r="AN26" s="311">
        <f>$AW26/$AW$38*'Bázis modell AKM-ei'!AN$38</f>
        <v>3735026.1237663138</v>
      </c>
      <c r="AO26" s="312">
        <f>$AX26/$AX$38*'Bázis modell AKM-ei'!AO$38</f>
        <v>793055.04504997132</v>
      </c>
      <c r="AP26" s="90">
        <f>SUM(AM26:AO26)</f>
        <v>6037043.3697473584</v>
      </c>
      <c r="AQ26" s="310">
        <f>'Bázis modell AKM-ei'!AQ$32*$AZ26/$AZ$32</f>
        <v>1230914.9487366576</v>
      </c>
      <c r="AR26" s="311">
        <f>'Bázis modell AKM-ei'!AR$32*$BA26/$BA$32</f>
        <v>541211.41029419389</v>
      </c>
      <c r="AS26" s="312">
        <f>'Bázis modell AKM-ei'!AS$32*$BB26/$BB$32</f>
        <v>2803142.9705646182</v>
      </c>
      <c r="AT26" s="90">
        <f>SUM(AQ26:AS26)</f>
        <v>4575269.3295954699</v>
      </c>
      <c r="AU26" s="320" cm="1">
        <f t="array" ref="AU26:AU28">MMULT(AQ55:AS57,AT26:AT28)</f>
        <v>10612312.699342828</v>
      </c>
      <c r="AV26" s="246">
        <f>'[5]Tény 2015'!D91/'[5]Tény 2015'!D$106*'Bázis modell AKM-ei'!AV$38</f>
        <v>1588008.4421433031</v>
      </c>
      <c r="AW26" s="247">
        <f>'[5]Tény 2015'!E91/'[5]Tény 2015'!E$106*'Bázis modell AKM-ei'!AW$38</f>
        <v>3938609.7081354572</v>
      </c>
      <c r="AX26" s="248">
        <f>'[5]Tény 2015'!F91/'[5]Tény 2015'!F$106*'Bázis modell AKM-ei'!AX$38</f>
        <v>820564.56660762033</v>
      </c>
      <c r="AY26" s="90">
        <f>SUM(AV26:AX26)</f>
        <v>6347182.7168863807</v>
      </c>
      <c r="AZ26" s="258">
        <f>'Bázis modell AKM-ei'!AZ$32*'[5]Tény 2015'!K91/'[5]Tény 2015'!K$97</f>
        <v>1271017.0251440955</v>
      </c>
      <c r="BA26" s="258">
        <f>'Bázis modell AKM-ei'!BA$32*'[5]Tény 2015'!O91/'[5]Tény 2015'!O$97</f>
        <v>540428.68920898729</v>
      </c>
      <c r="BB26" s="258">
        <f>'Bázis modell AKM-ei'!BB$32*'[5]Tény 2015'!S91/'[5]Tény 2015'!S$97</f>
        <v>3009605.0386397331</v>
      </c>
      <c r="BC26" s="90">
        <f>SUM(AZ26:BB26)</f>
        <v>4821050.7529928163</v>
      </c>
      <c r="BD26" s="89" cm="1">
        <f t="array" ref="BD26:BD28">MMULT(_xlfn.ANCHORARRAY(AZ55),BC26:BC28)</f>
        <v>11168233.469879197</v>
      </c>
      <c r="BE26" s="310">
        <f>$AV26/$AV$38*'Bázis modell AKM-ei'!BE$38</f>
        <v>1633652.6765730488</v>
      </c>
      <c r="BF26" s="311">
        <f>$AW26/$AW$38*'Bázis modell AKM-ei'!BF$38</f>
        <v>4047708.6806538999</v>
      </c>
      <c r="BG26" s="312">
        <f>$AX26/$AX$38*'Bázis modell AKM-ei'!BG$38</f>
        <v>849098.1273746558</v>
      </c>
      <c r="BH26" s="90">
        <f>SUM(BE26:BG26)</f>
        <v>6530459.4846016048</v>
      </c>
      <c r="BI26" s="310">
        <f>'Bázis modell AKM-ei'!BI$32*$AZ26/$AZ$32</f>
        <v>1316580.5074060471</v>
      </c>
      <c r="BJ26" s="311">
        <f>'Bázis modell AKM-ei'!BJ$32*$BA26/$BA$32</f>
        <v>518106.8424322019</v>
      </c>
      <c r="BK26" s="312">
        <f>'Bázis modell AKM-ei'!BK$32*$BB26/$BB$32</f>
        <v>3124095.928045671</v>
      </c>
      <c r="BL26" s="90">
        <f>SUM(BI26:BK26)</f>
        <v>4958783.2778839199</v>
      </c>
      <c r="BM26" s="320" cm="1">
        <f t="array" ref="BM26:BM28">MMULT(BI55:BK57,BL26:BL28)</f>
        <v>11489242.762485525</v>
      </c>
      <c r="BN26" s="310">
        <f>$AV26/$AV$38*'Bázis modell AKM-ei'!BN$38</f>
        <v>1735909.1054875345</v>
      </c>
      <c r="BO26" s="311">
        <f>$AW26/$AW$38*'Bázis modell AKM-ei'!BO$38</f>
        <v>4310675.6325602159</v>
      </c>
      <c r="BP26" s="312">
        <f>$AX26/$AX$38*'Bázis modell AKM-ei'!BP$38</f>
        <v>887826.45114233287</v>
      </c>
      <c r="BQ26" s="90">
        <f>SUM(BN26:BP26)</f>
        <v>6934411.1891900832</v>
      </c>
      <c r="BR26" s="310">
        <f>'Bázis modell AKM-ei'!BR$32*$AZ26/$AZ$32</f>
        <v>1373457.245234513</v>
      </c>
      <c r="BS26" s="311">
        <f>'Bázis modell AKM-ei'!BS$32*$BA26/$BA$32</f>
        <v>574133.9489662972</v>
      </c>
      <c r="BT26" s="312">
        <f>'Bázis modell AKM-ei'!BT$32*$BB26/$BB$32</f>
        <v>3326395.0394890788</v>
      </c>
      <c r="BU26" s="90">
        <f>SUM(BR26:BT26)</f>
        <v>5273986.2336898893</v>
      </c>
      <c r="BV26" s="320" cm="1">
        <f t="array" ref="BV26:BV28">MMULT(BR55:BT57,BU26:BU28)</f>
        <v>12208397.422879972</v>
      </c>
      <c r="BW26" s="310">
        <f>$CO26/$CO$38*'Bázis modell AKM-ei'!BW$38</f>
        <v>1764153.5262704983</v>
      </c>
      <c r="BX26" s="311">
        <f>$CP26/$CP$38*'Bázis modell AKM-ei'!BX$38</f>
        <v>4728613.0073302006</v>
      </c>
      <c r="BY26" s="312">
        <f>$CQ26/$CQ$38*'Bázis modell AKM-ei'!BY$38</f>
        <v>969255.81172268232</v>
      </c>
      <c r="BZ26" s="90">
        <f>SUM(BW26:BY26)</f>
        <v>7462022.3453233819</v>
      </c>
      <c r="CA26" s="310">
        <f>'Bázis modell AKM-ei'!CA$32*$CS26/$CS$32</f>
        <v>1379001.7830292315</v>
      </c>
      <c r="CB26" s="311">
        <f>'Bázis modell AKM-ei'!CB$32*$CT26/$CT$32</f>
        <v>523867.17468318809</v>
      </c>
      <c r="CC26" s="312">
        <f>'Bázis modell AKM-ei'!CC$32*$CU26/$CU$32</f>
        <v>3458822.4860535124</v>
      </c>
      <c r="CD26" s="90">
        <f>SUM(CA26:CC26)</f>
        <v>5361691.4437659318</v>
      </c>
      <c r="CE26" s="320" cm="1">
        <f t="array" ref="CE26:CE28">MMULT(CA55:CC57,CD26:CD28)</f>
        <v>12823713.789089313</v>
      </c>
      <c r="CF26" s="310">
        <f>$CO26/$CO$38*'Bázis modell AKM-ei'!CF$38</f>
        <v>1866900.5555371798</v>
      </c>
      <c r="CG26" s="311">
        <f>$CP26/$CP$38*'Bázis modell AKM-ei'!CG$38</f>
        <v>5016317.6117810914</v>
      </c>
      <c r="CH26" s="312">
        <f>$CQ26/$CQ$38*'Bázis modell AKM-ei'!CH$38</f>
        <v>1012500.8640285148</v>
      </c>
      <c r="CI26" s="90">
        <f>SUM(CF26:CH26)</f>
        <v>7895719.0313467868</v>
      </c>
      <c r="CJ26" s="310">
        <f>'Bázis modell AKM-ei'!CJ$32*$CS26/$CS$32</f>
        <v>1437557.1086532678</v>
      </c>
      <c r="CK26" s="311">
        <f>'Bázis modell AKM-ei'!CK$32*$CT26/$CT$32</f>
        <v>578370.29926450667</v>
      </c>
      <c r="CL26" s="312">
        <f>'Bázis modell AKM-ei'!CL$32*$CU26/$CU$32</f>
        <v>3658940.2701088348</v>
      </c>
      <c r="CM26" s="90">
        <f>SUM(CJ26:CL26)</f>
        <v>5674867.6780266091</v>
      </c>
      <c r="CN26" s="320" cm="1">
        <f t="array" ref="CN26:CN28">MMULT(CJ55:CL57,CM26:CM28)</f>
        <v>13570586.709373394</v>
      </c>
      <c r="CO26" s="246">
        <f>'[6]ÁKM agg 3x3'!$C$4/'[6]ÁKM agg 3x3'!C$16*'Bázis modell AKM-ei'!CO$38</f>
        <v>1870196.4208642438</v>
      </c>
      <c r="CP26" s="247">
        <f>'[6]ÁKM agg 3x3'!D4/'[6]ÁKM agg 3x3'!D$16*'Bázis modell AKM-ei'!CP$38</f>
        <v>5025045.3552816017</v>
      </c>
      <c r="CQ26" s="248">
        <f>'[6]ÁKM agg 3x3'!E4/'[6]ÁKM agg 3x3'!E$16*'Bázis modell AKM-ei'!CQ$38</f>
        <v>1002362.1823673052</v>
      </c>
      <c r="CR26" s="90">
        <f>SUM(CO26:CQ26)</f>
        <v>7897603.9585131509</v>
      </c>
      <c r="CS26" s="258">
        <f>'[6]ÁKM agg 3x3'!G4/'[6]ÁKM agg 3x3'!G$10*'Bázis modell AKM-ei'!CS$32</f>
        <v>1421288.0368963671</v>
      </c>
      <c r="CT26" s="258">
        <f>'[6]ÁKM agg 3x3'!H4/'[6]ÁKM agg 3x3'!H$10*'Bázis modell AKM-ei'!CT$32</f>
        <v>540863.41386451281</v>
      </c>
      <c r="CU26" s="258">
        <f>'[6]ÁKM agg 3x3'!I4/'[6]ÁKM agg 3x3'!I$10*'Bázis modell AKM-ei'!CU$32</f>
        <v>3734789.097996355</v>
      </c>
      <c r="CV26" s="90">
        <f>SUM(CS26:CU26)</f>
        <v>5696940.5487572346</v>
      </c>
      <c r="CW26" s="89" cm="1">
        <f t="array" ref="CW26:CW28">MMULT(_xlfn.ANCHORARRAY(CS55),CV26:CV28)</f>
        <v>13594544.507270385</v>
      </c>
      <c r="CX26" s="310">
        <f>$CO26/$CO$38*'Bázis modell AKM-ei'!CX$38</f>
        <v>1982310.1208764513</v>
      </c>
      <c r="CY26" s="311">
        <f>$CP26/$CP$38*'Bázis modell AKM-ei'!CY$38</f>
        <v>5335572.0181055134</v>
      </c>
      <c r="CZ26" s="312">
        <f>$CQ26/$CQ$38*'Bázis modell AKM-ei'!CZ$38</f>
        <v>1056637.2726527147</v>
      </c>
      <c r="DA26" s="90">
        <f>SUM(CX26:CZ26)</f>
        <v>8374519.411634679</v>
      </c>
      <c r="DB26" s="310">
        <f>'Bázis modell AKM-ei'!DB$32*$CS26/$CS$32</f>
        <v>1496619.9312295928</v>
      </c>
      <c r="DC26" s="311">
        <f>'Bázis modell AKM-ei'!DC$32*$CT26/$CT$32</f>
        <v>604582.83746298775</v>
      </c>
      <c r="DD26" s="312">
        <f>'Bázis modell AKM-ei'!DD$32*$CU26/$CU$32</f>
        <v>3933782.011223983</v>
      </c>
      <c r="DE26" s="90">
        <f>SUM(DB26:DD26)</f>
        <v>6034984.779916564</v>
      </c>
      <c r="DF26" s="320" cm="1">
        <f t="array" ref="DF26:DF28">MMULT(DB55:DD57,DE26:DE28)</f>
        <v>14409504.191551244</v>
      </c>
      <c r="DG26" s="310">
        <f>$CO26/$CO$38*'Bázis modell AKM-ei'!DG$38</f>
        <v>2060069.3958152668</v>
      </c>
      <c r="DH26" s="311">
        <f>$CP26/$CP$38*'Bázis modell AKM-ei'!DH$38</f>
        <v>5552035.887236868</v>
      </c>
      <c r="DI26" s="312">
        <f>$CQ26/$CQ$38*'Bázis modell AKM-ei'!DI$38</f>
        <v>1089058.7612435876</v>
      </c>
      <c r="DJ26" s="90">
        <f>SUM(DG26:DI26)</f>
        <v>8701164.0442957226</v>
      </c>
      <c r="DK26" s="310">
        <f>'Bázis modell AKM-ei'!DK$32*$CS26/$CS$32</f>
        <v>1540546.7402641824</v>
      </c>
      <c r="DL26" s="311">
        <f>'Bázis modell AKM-ei'!DL$32*$CT26/$CT$32</f>
        <v>638046.23815433634</v>
      </c>
      <c r="DM26" s="312">
        <f>'Bázis modell AKM-ei'!DM$32*$CU26/$CU$32</f>
        <v>4094982.9441895722</v>
      </c>
      <c r="DN26" s="90">
        <f>SUM(DK26:DM26)</f>
        <v>6273575.9226080906</v>
      </c>
      <c r="DO26" s="320" cm="1">
        <f t="array" ref="DO26:DO28">MMULT(DK55:DM57,DN26:DN28)</f>
        <v>14974739.966903813</v>
      </c>
      <c r="DP26" s="310">
        <f>$CO26/$CO$38*'Bázis modell AKM-ei'!DP$38</f>
        <v>2137828.6707540825</v>
      </c>
      <c r="DQ26" s="311">
        <f>$CP26/$CP$38*'Bázis modell AKM-ei'!DQ$38</f>
        <v>5768499.7563682254</v>
      </c>
      <c r="DR26" s="312">
        <f>$CQ26/$CQ$38*'Bázis modell AKM-ei'!DR$38</f>
        <v>1121480.2498344604</v>
      </c>
      <c r="DS26" s="90">
        <f>SUM(DP26:DR26)</f>
        <v>9027808.6769567691</v>
      </c>
      <c r="DT26" s="310">
        <f>'Bázis modell AKM-ei'!DT$32*$CS26/$CS$32</f>
        <v>1584473.5492987721</v>
      </c>
      <c r="DU26" s="311">
        <f>'Bázis modell AKM-ei'!DU$32*$CT26/$CT$32</f>
        <v>671509.63884568494</v>
      </c>
      <c r="DV26" s="312">
        <f>'Bázis modell AKM-ei'!DV$32*$CU26/$CU$32</f>
        <v>4256183.8771551615</v>
      </c>
      <c r="DW26" s="90">
        <f>SUM(DT26:DV26)</f>
        <v>6512167.065299619</v>
      </c>
      <c r="DX26" s="320" cm="1">
        <f t="array" ref="DX26:DX28">MMULT(DT55:DV57,DW26:DW28)</f>
        <v>15539975.742256384</v>
      </c>
      <c r="DY26" s="310">
        <f>$CO26/$CO$38*'Bázis modell AKM-ei'!DY$38</f>
        <v>2215587.9456929034</v>
      </c>
      <c r="DZ26" s="311">
        <f>$CP26/$CP$38*'Bázis modell AKM-ei'!DZ$38</f>
        <v>5984963.6254995968</v>
      </c>
      <c r="EA26" s="312">
        <f>$CQ26/$CQ$38*'Bázis modell AKM-ei'!EA$38</f>
        <v>1153901.7384253338</v>
      </c>
      <c r="EB26" s="90">
        <f>SUM(DY26:EA26)</f>
        <v>9354453.3096178342</v>
      </c>
      <c r="EC26" s="310">
        <f>'Bázis modell AKM-ei'!EC$32*$CS26/$CS$32</f>
        <v>1628400.3583333618</v>
      </c>
      <c r="ED26" s="311">
        <f>'Bázis modell AKM-ei'!ED$32*$CT26/$CT$32</f>
        <v>704973.03953704599</v>
      </c>
      <c r="EE26" s="312">
        <f>'Bázis modell AKM-ei'!EE$32*$CU26/$CU$32</f>
        <v>4417384.8101207511</v>
      </c>
      <c r="EF26" s="90">
        <f>SUM(EC26:EE26)</f>
        <v>6750758.2079911586</v>
      </c>
      <c r="EG26" s="320" cm="1">
        <f t="array" ref="EG26:EG28">MMULT(EC55:EE57,EF26:EF28)</f>
        <v>16105211.517608993</v>
      </c>
      <c r="EH26" s="310">
        <f>$CO26/$CO$38*'Bázis modell AKM-ei'!EH$38</f>
        <v>2293347.2206317233</v>
      </c>
      <c r="EI26" s="311">
        <f>$CP26/$CP$38*'Bázis modell AKM-ei'!EI$38</f>
        <v>6201427.4946309607</v>
      </c>
      <c r="EJ26" s="312">
        <f>$CQ26/$CQ$38*'Bázis modell AKM-ei'!EJ$38</f>
        <v>1186323.227016214</v>
      </c>
      <c r="EK26" s="90">
        <f>SUM(EH26:EJ26)</f>
        <v>9681097.9422788993</v>
      </c>
      <c r="EL26" s="310">
        <f>'Bázis modell AKM-ei'!EL$32*$CS26/$CS$32</f>
        <v>1672327.1673679638</v>
      </c>
      <c r="EM26" s="311">
        <f>'Bázis modell AKM-ei'!EM$32*$CT26/$CT$32</f>
        <v>738436.4402283947</v>
      </c>
      <c r="EN26" s="312">
        <f>'Bázis modell AKM-ei'!EN$32*$CU26/$CU$32</f>
        <v>4578585.7430863408</v>
      </c>
      <c r="EO26" s="90">
        <f>SUM(EL26:EN26)</f>
        <v>6989349.3506826991</v>
      </c>
      <c r="EP26" s="320" cm="1">
        <f t="array" ref="EP26:EP28">MMULT(EL55:EN57,EO26:EO28)</f>
        <v>16670447.292961597</v>
      </c>
    </row>
    <row r="27" spans="2:146" ht="37.5" customHeight="1" x14ac:dyDescent="0.35">
      <c r="B27" t="str">
        <f t="shared" si="138"/>
        <v>Gyártás</v>
      </c>
      <c r="C27" s="249">
        <v>1554173.7045328706</v>
      </c>
      <c r="D27" s="250">
        <v>7159815.7968488773</v>
      </c>
      <c r="E27" s="251">
        <v>1872079.8832807874</v>
      </c>
      <c r="F27" s="90">
        <f t="shared" ref="F27:F38" si="141">SUM(C27:E27)</f>
        <v>10586069.384662535</v>
      </c>
      <c r="G27" s="259">
        <v>6806442.0477466052</v>
      </c>
      <c r="H27" s="259">
        <v>4409245.4589116918</v>
      </c>
      <c r="I27" s="259">
        <v>19316934.834599264</v>
      </c>
      <c r="J27" s="90">
        <f t="shared" ref="J27:J32" si="142">SUM(G27:I27)</f>
        <v>30532622.341257561</v>
      </c>
      <c r="K27" s="89">
        <v>41118691.725920096</v>
      </c>
      <c r="L27" s="313">
        <f t="shared" si="139"/>
        <v>1609167.7899177175</v>
      </c>
      <c r="M27" s="314">
        <f t="shared" si="139"/>
        <v>7421730.1121832924</v>
      </c>
      <c r="N27" s="315">
        <f t="shared" si="139"/>
        <v>1890997.2824218238</v>
      </c>
      <c r="O27" s="90">
        <f t="shared" ref="O27:O38" si="143">SUM(L27:N27)</f>
        <v>10921895.184522834</v>
      </c>
      <c r="P27" s="313">
        <f t="shared" si="140"/>
        <v>6854965.3408725681</v>
      </c>
      <c r="Q27" s="314">
        <f t="shared" si="140"/>
        <v>4291287.5756717389</v>
      </c>
      <c r="R27" s="315">
        <f t="shared" si="140"/>
        <v>20554712.767805077</v>
      </c>
      <c r="S27" s="90">
        <f t="shared" ref="S27:S32" si="144">SUM(P27:R27)</f>
        <v>31700965.684349384</v>
      </c>
      <c r="T27" s="321">
        <v>42622860.868872218</v>
      </c>
      <c r="U27" s="313">
        <f>L27/L$38*'Bázis modell AKM-ei'!U$38</f>
        <v>1574323.5929714211</v>
      </c>
      <c r="V27" s="314">
        <f>M27/M$38*'Bázis modell AKM-ei'!V$38</f>
        <v>7249089.6653266158</v>
      </c>
      <c r="W27" s="315">
        <f>N27/N$38*'Bázis modell AKM-ei'!W$38</f>
        <v>1852368.8205025385</v>
      </c>
      <c r="X27" s="90">
        <f t="shared" ref="X27:X38" si="145">SUM(U27:W27)</f>
        <v>10675782.078800576</v>
      </c>
      <c r="Y27" s="313">
        <f>'Bázis modell AKM-ei'!Y$32*P27/P$32</f>
        <v>6717686.7813181914</v>
      </c>
      <c r="Z27" s="314">
        <f>'Bázis modell AKM-ei'!Z$32*Q27/Q$32</f>
        <v>4033415.3697513882</v>
      </c>
      <c r="AA27" s="315">
        <f>'Bázis modell AKM-ei'!AA$32*R27/R$32</f>
        <v>20204505.696851704</v>
      </c>
      <c r="AB27" s="90">
        <f t="shared" ref="AB27:AB32" si="146">SUM(Y27:AA27)</f>
        <v>30955607.847921282</v>
      </c>
      <c r="AC27" s="321">
        <v>41631389.926721856</v>
      </c>
      <c r="AD27" s="313">
        <f>$AV27/$AV$38*'Bázis modell AKM-ei'!AD$38</f>
        <v>1321661.0873818803</v>
      </c>
      <c r="AE27" s="314">
        <f>$AW27/$AW$38*'Bázis modell AKM-ei'!AE$38</f>
        <v>6591437.7068365132</v>
      </c>
      <c r="AF27" s="315">
        <f>$AX27/$AX$38*'Bázis modell AKM-ei'!AF$38</f>
        <v>1749463.762328994</v>
      </c>
      <c r="AG27" s="90">
        <f t="shared" ref="AG27:AG38" si="147">SUM(AD27:AF27)</f>
        <v>9662562.5565473866</v>
      </c>
      <c r="AH27" s="313">
        <f>'Bázis modell AKM-ei'!AH$32*$AZ27/$AZ$32</f>
        <v>6024770.361934334</v>
      </c>
      <c r="AI27" s="314">
        <f>'Bázis modell AKM-ei'!AI$32*$BA27/$BA$32</f>
        <v>4101542.5377082303</v>
      </c>
      <c r="AJ27" s="315">
        <f>'Bázis modell AKM-ei'!AJ$32*$BB27/$BB$32</f>
        <v>20770143.080551337</v>
      </c>
      <c r="AK27" s="90">
        <f t="shared" ref="AK27:AK32" si="148">SUM(AH27:AJ27)</f>
        <v>30896455.980193902</v>
      </c>
      <c r="AL27" s="321">
        <v>40559018.536741287</v>
      </c>
      <c r="AM27" s="313">
        <f>$AV27/$AV$38*'Bázis modell AKM-ei'!AM$38</f>
        <v>1422878.1148963738</v>
      </c>
      <c r="AN27" s="314">
        <f>$AW27/$AW$38*'Bázis modell AKM-ei'!AN$38</f>
        <v>7133643.848931591</v>
      </c>
      <c r="AO27" s="315">
        <f>$AX27/$AX$38*'Bázis modell AKM-ei'!AO$38</f>
        <v>1813859.2505050192</v>
      </c>
      <c r="AP27" s="90">
        <f t="shared" ref="AP27:AP31" si="149">SUM(AM27:AO27)</f>
        <v>10370381.214332983</v>
      </c>
      <c r="AQ27" s="313">
        <f>'Bázis modell AKM-ei'!AQ$32*$AZ27/$AZ$32</f>
        <v>6215292.4668591758</v>
      </c>
      <c r="AR27" s="314">
        <f>'Bázis modell AKM-ei'!AR$32*$BA27/$BA$32</f>
        <v>4629159.7928130748</v>
      </c>
      <c r="AS27" s="315">
        <f>'Bázis modell AKM-ei'!AS$32*$BB27/$BB$32</f>
        <v>22680535.938837059</v>
      </c>
      <c r="AT27" s="90">
        <f t="shared" ref="AT27:AT31" si="150">SUM(AQ27:AS27)</f>
        <v>33524988.198509309</v>
      </c>
      <c r="AU27" s="321">
        <v>43895369.412842296</v>
      </c>
      <c r="AV27" s="249">
        <f>'[5]Tény 2015'!D92/'[5]Tény 2015'!D$106*'Bázis modell AKM-ei'!AV$38</f>
        <v>1497414.8836877337</v>
      </c>
      <c r="AW27" s="250">
        <f>'[5]Tény 2015'!E92/'[5]Tény 2015'!E$106*'Bázis modell AKM-ei'!AW$38</f>
        <v>7522474.5387994116</v>
      </c>
      <c r="AX27" s="251">
        <f>'[5]Tény 2015'!F92/'[5]Tény 2015'!F$106*'Bázis modell AKM-ei'!AX$38</f>
        <v>1876778.4645819748</v>
      </c>
      <c r="AY27" s="90">
        <f t="shared" ref="AY27:AY38" si="151">SUM(AV27:AX27)</f>
        <v>10896667.887069121</v>
      </c>
      <c r="AZ27" s="259">
        <f>'Bázis modell AKM-ei'!AZ$32*'[5]Tény 2015'!K92/'[5]Tény 2015'!K$97</f>
        <v>6417780.9764482193</v>
      </c>
      <c r="BA27" s="259">
        <f>'Bázis modell AKM-ei'!BA$32*'[5]Tény 2015'!O92/'[5]Tény 2015'!O$97</f>
        <v>4622464.921072186</v>
      </c>
      <c r="BB27" s="259">
        <f>'Bázis modell AKM-ei'!BB$32*'[5]Tény 2015'!S92/'[5]Tény 2015'!S$97</f>
        <v>24351043.08176779</v>
      </c>
      <c r="BC27" s="90">
        <f t="shared" ref="BC27:BC32" si="152">SUM(AZ27:BB27)</f>
        <v>35391288.979288191</v>
      </c>
      <c r="BD27" s="89">
        <v>46287956.866357312</v>
      </c>
      <c r="BE27" s="313">
        <f>$AV27/$AV$38*'Bázis modell AKM-ei'!BE$38</f>
        <v>1540455.1813182582</v>
      </c>
      <c r="BF27" s="314">
        <f>$AW27/$AW$38*'Bázis modell AKM-ei'!BF$38</f>
        <v>7730846.0972414585</v>
      </c>
      <c r="BG27" s="315">
        <f>$AX27/$AX$38*'Bázis modell AKM-ei'!BG$38</f>
        <v>1942039.8401575796</v>
      </c>
      <c r="BH27" s="90">
        <f t="shared" ref="BH27:BH38" si="153">SUM(BE27:BG27)</f>
        <v>11213341.118717296</v>
      </c>
      <c r="BI27" s="313">
        <f>'Bázis modell AKM-ei'!BI$32*$AZ27/$AZ$32</f>
        <v>6647845.911769079</v>
      </c>
      <c r="BJ27" s="314">
        <f>'Bázis modell AKM-ei'!BJ$32*$BA27/$BA$32</f>
        <v>4431538.7993478496</v>
      </c>
      <c r="BK27" s="315">
        <f>'Bázis modell AKM-ei'!BK$32*$BB27/$BB$32</f>
        <v>25277401.372839101</v>
      </c>
      <c r="BL27" s="90">
        <f t="shared" ref="BL27:BL32" si="154">SUM(BI27:BK27)</f>
        <v>36356786.083956033</v>
      </c>
      <c r="BM27" s="321">
        <v>47570127.202673331</v>
      </c>
      <c r="BN27" s="313">
        <f>$AV27/$AV$38*'Bázis modell AKM-ei'!BN$38</f>
        <v>1636878.0305586841</v>
      </c>
      <c r="BO27" s="314">
        <f>$AW27/$AW$38*'Bázis modell AKM-ei'!BO$38</f>
        <v>8233094.9481938453</v>
      </c>
      <c r="BP27" s="315">
        <f>$AX27/$AX$38*'Bázis modell AKM-ei'!BP$38</f>
        <v>2030618.4687925291</v>
      </c>
      <c r="BQ27" s="90">
        <f t="shared" ref="BQ27:BQ38" si="155">SUM(BN27:BP27)</f>
        <v>11900591.447545059</v>
      </c>
      <c r="BR27" s="313">
        <f>'Bázis modell AKM-ei'!BR$32*$AZ27/$AZ$32</f>
        <v>6935035.1773861777</v>
      </c>
      <c r="BS27" s="314">
        <f>'Bázis modell AKM-ei'!BS$32*$BA27/$BA$32</f>
        <v>4910757.1305620885</v>
      </c>
      <c r="BT27" s="315">
        <f>'Bázis modell AKM-ei'!BT$32*$BB27/$BB$32</f>
        <v>26914225.578977551</v>
      </c>
      <c r="BU27" s="90">
        <f t="shared" ref="BU27:BU32" si="156">SUM(BR27:BT27)</f>
        <v>38760017.886925817</v>
      </c>
      <c r="BV27" s="321">
        <v>50660609.334470883</v>
      </c>
      <c r="BW27" s="313">
        <f>$CO27/$CO$38*'Bázis modell AKM-ei'!BW$38</f>
        <v>1690053.9998942674</v>
      </c>
      <c r="BX27" s="314">
        <f>$CP27/$CP$38*'Bázis modell AKM-ei'!BX$38</f>
        <v>8749784.2240987625</v>
      </c>
      <c r="BY27" s="315">
        <f>$CQ27/$CQ$38*'Bázis modell AKM-ei'!BY$38</f>
        <v>2154537.3097137208</v>
      </c>
      <c r="BZ27" s="90">
        <f t="shared" ref="BZ27:BZ38" si="157">SUM(BW27:BY27)</f>
        <v>12594375.533706751</v>
      </c>
      <c r="CA27" s="313">
        <f>'Bázis modell AKM-ei'!CA$32*$CS27/$CS$32</f>
        <v>7333848.8422002196</v>
      </c>
      <c r="CB27" s="314">
        <f>'Bázis modell AKM-ei'!CB$32*$CT27/$CT$32</f>
        <v>5978828.4259092547</v>
      </c>
      <c r="CC27" s="315">
        <f>'Bázis modell AKM-ei'!CC$32*$CU27/$CU$32</f>
        <v>28164173.473610874</v>
      </c>
      <c r="CD27" s="90">
        <f t="shared" ref="CD27:CD32" si="158">SUM(CA27:CC27)</f>
        <v>41476850.741720349</v>
      </c>
      <c r="CE27" s="321">
        <v>54071226.275427103</v>
      </c>
      <c r="CF27" s="313">
        <f>$CO27/$CO$38*'Bázis modell AKM-ei'!CF$38</f>
        <v>1788485.3581652837</v>
      </c>
      <c r="CG27" s="314">
        <f>$CP27/$CP$38*'Bázis modell AKM-ei'!CG$38</f>
        <v>9282150.3122778181</v>
      </c>
      <c r="CH27" s="315">
        <f>$CQ27/$CQ$38*'Bázis modell AKM-ei'!CH$38</f>
        <v>2250665.7801614124</v>
      </c>
      <c r="CI27" s="90">
        <f t="shared" ref="CI27:CI38" si="159">SUM(CF27:CH27)</f>
        <v>13321301.450604515</v>
      </c>
      <c r="CJ27" s="313">
        <f>'Bázis modell AKM-ei'!CJ$32*$CS27/$CS$32</f>
        <v>7645259.5396462819</v>
      </c>
      <c r="CK27" s="314">
        <f>'Bázis modell AKM-ei'!CK$32*$CT27/$CT$32</f>
        <v>6600865.5496223979</v>
      </c>
      <c r="CL27" s="315">
        <f>'Bázis modell AKM-ei'!CL$32*$CU27/$CU$32</f>
        <v>29793673.68878945</v>
      </c>
      <c r="CM27" s="90">
        <f t="shared" ref="CM27:CM32" si="160">SUM(CJ27:CL27)</f>
        <v>44039798.778058127</v>
      </c>
      <c r="CN27" s="321">
        <v>57361100.22866264</v>
      </c>
      <c r="CO27" s="249">
        <f>'[6]ÁKM agg 3x3'!C5/'[6]ÁKM agg 3x3'!C$16*'Bázis modell AKM-ei'!CO$38</f>
        <v>1791642.7876611694</v>
      </c>
      <c r="CP27" s="250">
        <f>'[6]ÁKM agg 3x3'!D5/'[6]ÁKM agg 3x3'!D$16*'Bázis modell AKM-ei'!CP$38</f>
        <v>9298300.0526508112</v>
      </c>
      <c r="CQ27" s="251">
        <f>'[6]ÁKM agg 3x3'!E5/'[6]ÁKM agg 3x3'!E$16*'Bázis modell AKM-ei'!CQ$38</f>
        <v>2228128.7289039511</v>
      </c>
      <c r="CR27" s="90">
        <f t="shared" ref="CR27:CR38" si="161">SUM(CO27:CQ27)</f>
        <v>13318071.569215931</v>
      </c>
      <c r="CS27" s="259">
        <f>'[6]ÁKM agg 3x3'!G5/'[6]ÁKM agg 3x3'!G$10*'Bázis modell AKM-ei'!CS$32</f>
        <v>7558736.8719192529</v>
      </c>
      <c r="CT27" s="259">
        <f>'[6]ÁKM agg 3x3'!H5/'[6]ÁKM agg 3x3'!H$10*'Bázis modell AKM-ei'!CT$32</f>
        <v>6172804.3092279816</v>
      </c>
      <c r="CU27" s="259">
        <f>'[6]ÁKM agg 3x3'!I5/'[6]ÁKM agg 3x3'!I$10*'Bázis modell AKM-ei'!CU$32</f>
        <v>30411288.369799454</v>
      </c>
      <c r="CV27" s="90">
        <f t="shared" ref="CV27:CV32" si="162">SUM(CS27:CU27)</f>
        <v>44142829.55094669</v>
      </c>
      <c r="CW27" s="89">
        <v>57460901.120162621</v>
      </c>
      <c r="CX27" s="313">
        <f>$CO27/$CO$38*'Bázis modell AKM-ei'!CX$38</f>
        <v>1899047.389543605</v>
      </c>
      <c r="CY27" s="314">
        <f>$CP27/$CP$38*'Bázis modell AKM-ei'!CY$38</f>
        <v>9872895.8783880398</v>
      </c>
      <c r="CZ27" s="315">
        <f>$CQ27/$CQ$38*'Bázis modell AKM-ei'!CZ$38</f>
        <v>2348775.6268577119</v>
      </c>
      <c r="DA27" s="90">
        <f t="shared" ref="DA27:DA38" si="163">SUM(CX27:CZ27)</f>
        <v>14120718.894789357</v>
      </c>
      <c r="DB27" s="313">
        <f>'Bázis modell AKM-ei'!DB$32*$CS27/$CS$32</f>
        <v>7959369.2226787051</v>
      </c>
      <c r="DC27" s="314">
        <f>'Bázis modell AKM-ei'!DC$32*$CT27/$CT$32</f>
        <v>6900025.8636678215</v>
      </c>
      <c r="DD27" s="315">
        <f>'Bázis modell AKM-ei'!DD$32*$CU27/$CU$32</f>
        <v>32031629.09290975</v>
      </c>
      <c r="DE27" s="90">
        <f t="shared" ref="DE27:DE32" si="164">SUM(DB27:DD27)</f>
        <v>46891024.179256275</v>
      </c>
      <c r="DF27" s="321">
        <v>61011743.074045628</v>
      </c>
      <c r="DG27" s="313">
        <f>$CO27/$CO$38*'Bázis modell AKM-ei'!DG$38</f>
        <v>1973540.5510979996</v>
      </c>
      <c r="DH27" s="314">
        <f>$CP27/$CP$38*'Bázis modell AKM-ei'!DH$38</f>
        <v>10273438.731921803</v>
      </c>
      <c r="DI27" s="315">
        <f>$CQ27/$CQ$38*'Bázis modell AKM-ei'!DI$38</f>
        <v>2420844.6368761724</v>
      </c>
      <c r="DJ27" s="90">
        <f t="shared" ref="DJ27:DJ38" si="165">SUM(DG27:DI27)</f>
        <v>14667823.919895977</v>
      </c>
      <c r="DK27" s="313">
        <f>'Bázis modell AKM-ei'!DK$32*$CS27/$CS$32</f>
        <v>8192982.1023315564</v>
      </c>
      <c r="DL27" s="314">
        <f>'Bázis modell AKM-ei'!DL$32*$CT27/$CT$32</f>
        <v>7281939.3351542167</v>
      </c>
      <c r="DM27" s="315">
        <f>'Bázis modell AKM-ei'!DM$32*$CU27/$CU$32</f>
        <v>33344240.844006285</v>
      </c>
      <c r="DN27" s="90">
        <f t="shared" ref="DN27:DN32" si="166">SUM(DK27:DM27)</f>
        <v>48819162.281492054</v>
      </c>
      <c r="DO27" s="321">
        <v>63486986.201388024</v>
      </c>
      <c r="DP27" s="313">
        <f>$CO27/$CO$38*'Bázis modell AKM-ei'!DP$38</f>
        <v>2048033.7126523943</v>
      </c>
      <c r="DQ27" s="314">
        <f>$CP27/$CP$38*'Bázis modell AKM-ei'!DQ$38</f>
        <v>10673981.585455572</v>
      </c>
      <c r="DR27" s="315">
        <f>$CQ27/$CQ$38*'Bázis modell AKM-ei'!DR$38</f>
        <v>2492913.6468946328</v>
      </c>
      <c r="DS27" s="90">
        <f t="shared" ref="DS27:DS38" si="167">SUM(DP27:DR27)</f>
        <v>15214928.945002601</v>
      </c>
      <c r="DT27" s="313">
        <f>'Bázis modell AKM-ei'!DT$32*$CS27/$CS$32</f>
        <v>8426594.9819844086</v>
      </c>
      <c r="DU27" s="314">
        <f>'Bázis modell AKM-ei'!DU$32*$CT27/$CT$32</f>
        <v>7663852.806640612</v>
      </c>
      <c r="DV27" s="315">
        <f>'Bázis modell AKM-ei'!DV$32*$CU27/$CU$32</f>
        <v>34656852.595102824</v>
      </c>
      <c r="DW27" s="90">
        <f t="shared" ref="DW27:DW32" si="168">SUM(DT27:DV27)</f>
        <v>50747300.383727849</v>
      </c>
      <c r="DX27" s="321">
        <v>65962229.328730449</v>
      </c>
      <c r="DY27" s="313">
        <f>$CO27/$CO$38*'Bázis modell AKM-ei'!DY$38</f>
        <v>2122526.874206794</v>
      </c>
      <c r="DZ27" s="314">
        <f>$CP27/$CP$38*'Bázis modell AKM-ei'!DZ$38</f>
        <v>11074524.438989365</v>
      </c>
      <c r="EA27" s="315">
        <f>$CQ27/$CQ$38*'Bázis modell AKM-ei'!EA$38</f>
        <v>2564982.6569130947</v>
      </c>
      <c r="EB27" s="90">
        <f t="shared" ref="EB27:EB38" si="169">SUM(DY27:EA27)</f>
        <v>15762033.970109254</v>
      </c>
      <c r="EC27" s="313">
        <f>'Bázis modell AKM-ei'!EC$32*$CS27/$CS$32</f>
        <v>8660207.8616372589</v>
      </c>
      <c r="ED27" s="314">
        <f>'Bázis modell AKM-ei'!ED$32*$CT27/$CT$32</f>
        <v>8045766.2781271506</v>
      </c>
      <c r="EE27" s="315">
        <f>'Bázis modell AKM-ei'!EE$32*$CU27/$CU$32</f>
        <v>35969464.346199363</v>
      </c>
      <c r="EF27" s="90">
        <f t="shared" ref="EF27:EF32" si="170">SUM(EC27:EE27)</f>
        <v>52675438.485963777</v>
      </c>
      <c r="EG27" s="321">
        <v>68437472.456073031</v>
      </c>
      <c r="EH27" s="313">
        <f>$CO27/$CO$38*'Bázis modell AKM-ei'!EH$38</f>
        <v>2197020.0357611934</v>
      </c>
      <c r="EI27" s="314">
        <f>$CP27/$CP$38*'Bázis modell AKM-ei'!EI$38</f>
        <v>11475067.292523144</v>
      </c>
      <c r="EJ27" s="315">
        <f>$CQ27/$CQ$38*'Bázis modell AKM-ei'!EJ$38</f>
        <v>2637051.6669315724</v>
      </c>
      <c r="EK27" s="90">
        <f t="shared" ref="EK27:EK38" si="171">SUM(EH27:EJ27)</f>
        <v>16309138.995215911</v>
      </c>
      <c r="EL27" s="313">
        <f>'Bázis modell AKM-ei'!EL$32*$CS27/$CS$32</f>
        <v>8893820.7412901763</v>
      </c>
      <c r="EM27" s="314">
        <f>'Bázis modell AKM-ei'!EM$32*$CT27/$CT$32</f>
        <v>8427679.7496135458</v>
      </c>
      <c r="EN27" s="315">
        <f>'Bázis modell AKM-ei'!EN$32*$CU27/$CU$32</f>
        <v>37282076.097295895</v>
      </c>
      <c r="EO27" s="90">
        <f t="shared" ref="EO27:EO32" si="172">SUM(EL27:EN27)</f>
        <v>54603576.588199615</v>
      </c>
      <c r="EP27" s="321">
        <v>70912715.583415523</v>
      </c>
    </row>
    <row r="28" spans="2:146" ht="15" thickBot="1" x14ac:dyDescent="0.4">
      <c r="B28" t="str">
        <f t="shared" si="138"/>
        <v>Downstream</v>
      </c>
      <c r="C28" s="252">
        <v>182930.09229186244</v>
      </c>
      <c r="D28" s="253">
        <v>521785.81744264037</v>
      </c>
      <c r="E28" s="254">
        <v>467642.27484643599</v>
      </c>
      <c r="F28" s="90">
        <f t="shared" si="141"/>
        <v>1172358.1845809389</v>
      </c>
      <c r="G28" s="260">
        <v>9437564.7782446332</v>
      </c>
      <c r="H28" s="260">
        <v>74572.167893974896</v>
      </c>
      <c r="I28" s="260">
        <v>229661.34636756565</v>
      </c>
      <c r="J28" s="90">
        <f t="shared" si="142"/>
        <v>9741798.2925061733</v>
      </c>
      <c r="K28" s="89">
        <v>10914156.477087112</v>
      </c>
      <c r="L28" s="316">
        <f t="shared" si="139"/>
        <v>189403.03227638002</v>
      </c>
      <c r="M28" s="317">
        <f t="shared" si="139"/>
        <v>540873.34413387789</v>
      </c>
      <c r="N28" s="318">
        <f t="shared" si="139"/>
        <v>472367.80800744018</v>
      </c>
      <c r="O28" s="90">
        <f t="shared" si="143"/>
        <v>1202644.1844176981</v>
      </c>
      <c r="P28" s="316">
        <f t="shared" si="140"/>
        <v>9504845.4101691525</v>
      </c>
      <c r="Q28" s="317">
        <f t="shared" si="140"/>
        <v>72577.183682876159</v>
      </c>
      <c r="R28" s="318">
        <f t="shared" si="140"/>
        <v>244377.43611359224</v>
      </c>
      <c r="S28" s="90">
        <f t="shared" si="144"/>
        <v>9821800.0299656205</v>
      </c>
      <c r="T28" s="322">
        <v>11024444.214383319</v>
      </c>
      <c r="U28" s="316">
        <f>L28/L$38*'Bázis modell AKM-ei'!U$38</f>
        <v>185301.78404097914</v>
      </c>
      <c r="V28" s="317">
        <f>M28/M$38*'Bázis modell AKM-ei'!V$38</f>
        <v>528291.82817833894</v>
      </c>
      <c r="W28" s="318">
        <f>N28/N$38*'Bázis modell AKM-ei'!W$38</f>
        <v>462718.4858994027</v>
      </c>
      <c r="X28" s="90">
        <f t="shared" si="145"/>
        <v>1176312.0981187208</v>
      </c>
      <c r="Y28" s="316">
        <f>'Bázis modell AKM-ei'!Y$32*P28/P$32</f>
        <v>9314499.9566458296</v>
      </c>
      <c r="Z28" s="317">
        <f>'Bázis modell AKM-ei'!Z$32*Q28/Q$32</f>
        <v>68215.87297466521</v>
      </c>
      <c r="AA28" s="318">
        <f>'Bázis modell AKM-ei'!AA$32*R28/R$32</f>
        <v>240213.78240190019</v>
      </c>
      <c r="AB28" s="90">
        <f t="shared" si="146"/>
        <v>9622929.6120223962</v>
      </c>
      <c r="AC28" s="322">
        <v>10799241.710141117</v>
      </c>
      <c r="AD28" s="316">
        <f>$AV28/$AV$38*'Bázis modell AKM-ei'!AD$38</f>
        <v>183234.78874756358</v>
      </c>
      <c r="AE28" s="317">
        <f>$AW28/$AW$38*'Bázis modell AKM-ei'!AE$38</f>
        <v>479450.88018884783</v>
      </c>
      <c r="AF28" s="318">
        <f>$AX28/$AX$38*'Bázis modell AKM-ei'!AF$38</f>
        <v>462915.5633308281</v>
      </c>
      <c r="AG28" s="90">
        <f t="shared" si="147"/>
        <v>1125601.2322672396</v>
      </c>
      <c r="AH28" s="316">
        <f>'Bázis modell AKM-ei'!AH$32*$AZ28/$AZ$32</f>
        <v>9837522.6913966667</v>
      </c>
      <c r="AI28" s="317">
        <f>'Bázis modell AKM-ei'!AI$32*$BA28/$BA$32</f>
        <v>83222.901655024951</v>
      </c>
      <c r="AJ28" s="318">
        <f>'Bázis modell AKM-ei'!AJ$32*$BB28/$BB$32</f>
        <v>259048.09173787077</v>
      </c>
      <c r="AK28" s="90">
        <f t="shared" si="148"/>
        <v>10179793.684789563</v>
      </c>
      <c r="AL28" s="322">
        <v>11305394.917056803</v>
      </c>
      <c r="AM28" s="316">
        <f>$AV28/$AV$38*'Bázis modell AKM-ei'!AM$38</f>
        <v>197267.49412970798</v>
      </c>
      <c r="AN28" s="317">
        <f>$AW28/$AW$38*'Bázis modell AKM-ei'!AN$38</f>
        <v>518890.10781010828</v>
      </c>
      <c r="AO28" s="318">
        <f>$AX28/$AX$38*'Bázis modell AKM-ei'!AO$38</f>
        <v>479954.88379396469</v>
      </c>
      <c r="AP28" s="90">
        <f t="shared" si="149"/>
        <v>1196112.485733781</v>
      </c>
      <c r="AQ28" s="316">
        <f>'Bázis modell AKM-ei'!AQ$32*$AZ28/$AZ$32</f>
        <v>10148615.964304257</v>
      </c>
      <c r="AR28" s="317">
        <f>'Bázis modell AKM-ei'!AR$32*$BA28/$BA$32</f>
        <v>93928.590680407986</v>
      </c>
      <c r="AS28" s="318">
        <f>'Bázis modell AKM-ei'!AS$32*$BB28/$BB$32</f>
        <v>282874.7751886925</v>
      </c>
      <c r="AT28" s="90">
        <f t="shared" si="150"/>
        <v>10525419.330173356</v>
      </c>
      <c r="AU28" s="322">
        <v>11721531.815907137</v>
      </c>
      <c r="AV28" s="252">
        <f>'[5]Tény 2015'!D93/'[5]Tény 2015'!D$106*'Bázis modell AKM-ei'!AV$38</f>
        <v>207601.25458751628</v>
      </c>
      <c r="AW28" s="253">
        <f>'[5]Tény 2015'!E93/'[5]Tény 2015'!E$106*'Bázis modell AKM-ei'!AW$38</f>
        <v>547173.04467351921</v>
      </c>
      <c r="AX28" s="254">
        <f>'[5]Tény 2015'!F93/'[5]Tény 2015'!F$106*'Bázis modell AKM-ei'!AX$38</f>
        <v>496603.57584231679</v>
      </c>
      <c r="AY28" s="90">
        <f t="shared" si="151"/>
        <v>1251377.8751033524</v>
      </c>
      <c r="AZ28" s="260">
        <f>'Bázis modell AKM-ei'!AZ$32*'[5]Tény 2015'!K93/'[5]Tény 2015'!K$97</f>
        <v>10479248.534205187</v>
      </c>
      <c r="BA28" s="260">
        <f>'Bázis modell AKM-ei'!BA$32*'[5]Tény 2015'!O93/'[5]Tény 2015'!O$97</f>
        <v>93792.747483034662</v>
      </c>
      <c r="BB28" s="260">
        <f>'Bázis modell AKM-ei'!BB$32*'[5]Tény 2015'!S93/'[5]Tény 2015'!S$97</f>
        <v>303709.57088231953</v>
      </c>
      <c r="BC28" s="90">
        <f t="shared" si="152"/>
        <v>10876750.852570543</v>
      </c>
      <c r="BD28" s="89">
        <v>12128128.727673896</v>
      </c>
      <c r="BE28" s="316">
        <f>$AV28/$AV$38*'Bázis modell AKM-ei'!BE$38</f>
        <v>213568.35153790316</v>
      </c>
      <c r="BF28" s="317">
        <f>$AW28/$AW$38*'Bázis modell AKM-ei'!BF$38</f>
        <v>562329.66627031332</v>
      </c>
      <c r="BG28" s="318">
        <f>$AX28/$AX$38*'Bázis modell AKM-ei'!BG$38</f>
        <v>513872.01379961846</v>
      </c>
      <c r="BH28" s="90">
        <f t="shared" si="153"/>
        <v>1289770.0316078351</v>
      </c>
      <c r="BI28" s="316">
        <f>'Bázis modell AKM-ei'!BI$32*$AZ28/$AZ$32</f>
        <v>10854909.162868055</v>
      </c>
      <c r="BJ28" s="317">
        <f>'Bázis modell AKM-ei'!BJ$32*$BA28/$BA$32</f>
        <v>89918.735277734435</v>
      </c>
      <c r="BK28" s="318">
        <f>'Bázis modell AKM-ei'!BK$32*$BB28/$BB$32</f>
        <v>315263.23936870956</v>
      </c>
      <c r="BL28" s="90">
        <f t="shared" si="154"/>
        <v>11260091.137514498</v>
      </c>
      <c r="BM28" s="322">
        <v>12549861.169122335</v>
      </c>
      <c r="BN28" s="316">
        <f>$AV28/$AV$38*'Bázis modell AKM-ei'!BN$38</f>
        <v>226936.39314833353</v>
      </c>
      <c r="BO28" s="317">
        <f>$AW28/$AW$38*'Bázis modell AKM-ei'!BO$38</f>
        <v>598862.46296400018</v>
      </c>
      <c r="BP28" s="318">
        <f>$AX28/$AX$38*'Bázis modell AKM-ei'!BP$38</f>
        <v>537310.29623596463</v>
      </c>
      <c r="BQ28" s="90">
        <f t="shared" si="155"/>
        <v>1363109.1523482983</v>
      </c>
      <c r="BR28" s="316">
        <f>'Bázis modell AKM-ei'!BR$32*$AZ28/$AZ$32</f>
        <v>11323845.03054595</v>
      </c>
      <c r="BS28" s="317">
        <f>'Bázis modell AKM-ei'!BS$32*$BA28/$BA$32</f>
        <v>99642.379414852679</v>
      </c>
      <c r="BT28" s="318">
        <f>'Bázis modell AKM-ei'!BT$32*$BB28/$BB$32</f>
        <v>335677.93682486523</v>
      </c>
      <c r="BU28" s="90">
        <f t="shared" si="156"/>
        <v>11759165.346785668</v>
      </c>
      <c r="BV28" s="322">
        <v>13122274.499133967</v>
      </c>
      <c r="BW28" s="316">
        <f>$CO28/$CO$38*'Bázis modell AKM-ei'!BW$38</f>
        <v>238165.79402162365</v>
      </c>
      <c r="BX28" s="317">
        <f>$CP28/$CP$38*'Bázis modell AKM-ei'!BX$38</f>
        <v>666956.04302986595</v>
      </c>
      <c r="BY28" s="318">
        <f>$CQ28/$CQ$38*'Bázis modell AKM-ei'!BY$38</f>
        <v>523890.83236839395</v>
      </c>
      <c r="BZ28" s="90">
        <f t="shared" si="157"/>
        <v>1429012.6694198835</v>
      </c>
      <c r="CA28" s="316">
        <f>'Bázis modell AKM-ei'!CA$32*$CS28/$CS$32</f>
        <v>12015784.459886467</v>
      </c>
      <c r="CB28" s="317">
        <f>'Bázis modell AKM-ei'!CB$32*$CT28/$CT$32</f>
        <v>116193.42830818078</v>
      </c>
      <c r="CC28" s="318">
        <f>'Bázis modell AKM-ei'!CC$32*$CU28/$CU$32</f>
        <v>371424.68331407651</v>
      </c>
      <c r="CD28" s="90">
        <f t="shared" si="158"/>
        <v>12503402.571508724</v>
      </c>
      <c r="CE28" s="322">
        <v>13932415.240928607</v>
      </c>
      <c r="CF28" s="316">
        <f>$CO28/$CO$38*'Bázis modell AKM-ei'!CF$38</f>
        <v>252036.9381393324</v>
      </c>
      <c r="CG28" s="317">
        <f>$CP28/$CP$38*'Bázis modell AKM-ei'!CG$38</f>
        <v>707535.87568874087</v>
      </c>
      <c r="CH28" s="318">
        <f>$CQ28/$CQ$38*'Bázis modell AKM-ei'!CH$38</f>
        <v>547265.14302437112</v>
      </c>
      <c r="CI28" s="90">
        <f t="shared" si="159"/>
        <v>1506837.9568524444</v>
      </c>
      <c r="CJ28" s="316">
        <f>'Bázis modell AKM-ei'!CJ$32*$CS28/$CS$32</f>
        <v>12526000.023300262</v>
      </c>
      <c r="CK28" s="317">
        <f>'Bázis modell AKM-ei'!CK$32*$CT28/$CT$32</f>
        <v>128282.1889800842</v>
      </c>
      <c r="CL28" s="318">
        <f>'Bázis modell AKM-ei'!CL$32*$CU28/$CU$32</f>
        <v>392914.27547093545</v>
      </c>
      <c r="CM28" s="90">
        <f t="shared" si="160"/>
        <v>13047196.487751281</v>
      </c>
      <c r="CN28" s="322">
        <v>14554034.444603726</v>
      </c>
      <c r="CO28" s="252">
        <f>'[6]ÁKM agg 3x3'!C6/'[6]ÁKM agg 3x3'!C$16*'Bázis modell AKM-ei'!CO$38</f>
        <v>252481.8894266889</v>
      </c>
      <c r="CP28" s="253">
        <f>'[6]ÁKM agg 3x3'!D6/'[6]ÁKM agg 3x3'!D$16*'Bázis modell AKM-ei'!CP$38</f>
        <v>708766.8965527144</v>
      </c>
      <c r="CQ28" s="254">
        <f>'[6]ÁKM agg 3x3'!E6/'[6]ÁKM agg 3x3'!E$16*'Bázis modell AKM-ei'!CQ$38</f>
        <v>541785.1012125311</v>
      </c>
      <c r="CR28" s="90">
        <f t="shared" si="161"/>
        <v>1503033.8871919345</v>
      </c>
      <c r="CS28" s="260">
        <f>'[6]ÁKM agg 3x3'!G6/'[6]ÁKM agg 3x3'!G$10*'Bázis modell AKM-ei'!CS$32</f>
        <v>12384241.207612639</v>
      </c>
      <c r="CT28" s="260">
        <f>'[6]ÁKM agg 3x3'!H6/'[6]ÁKM agg 3x3'!H$10*'Bázis modell AKM-ei'!CT$32</f>
        <v>119963.18406739256</v>
      </c>
      <c r="CU28" s="260">
        <f>'[6]ÁKM agg 3x3'!I6/'[6]ÁKM agg 3x3'!I$10*'Bázis modell AKM-ei'!CU$32</f>
        <v>401059.28059665678</v>
      </c>
      <c r="CV28" s="90">
        <f t="shared" si="162"/>
        <v>12905263.672276689</v>
      </c>
      <c r="CW28" s="89">
        <v>14408297.559468623</v>
      </c>
      <c r="CX28" s="316">
        <f>$CO28/$CO$38*'Bázis modell AKM-ei'!CX$38</f>
        <v>267617.56100316334</v>
      </c>
      <c r="CY28" s="317">
        <f>$CP28/$CP$38*'Bázis modell AKM-ei'!CY$38</f>
        <v>752565.70901024714</v>
      </c>
      <c r="CZ28" s="318">
        <f>$CQ28/$CQ$38*'Bázis modell AKM-ei'!CZ$38</f>
        <v>571121.23918827984</v>
      </c>
      <c r="DA28" s="90">
        <f t="shared" si="163"/>
        <v>1591304.5092016903</v>
      </c>
      <c r="DB28" s="316">
        <f>'Bázis modell AKM-ei'!DB$32*$CS28/$CS$32</f>
        <v>13040637.607097059</v>
      </c>
      <c r="DC28" s="317">
        <f>'Bázis modell AKM-ei'!DC$32*$CT28/$CT$32</f>
        <v>134096.11438929234</v>
      </c>
      <c r="DD28" s="318">
        <f>'Bázis modell AKM-ei'!DD$32*$CU28/$CU$32</f>
        <v>422428.07881493389</v>
      </c>
      <c r="DE28" s="90">
        <f t="shared" si="164"/>
        <v>13597161.800301285</v>
      </c>
      <c r="DF28" s="322">
        <v>15188466.309502976</v>
      </c>
      <c r="DG28" s="316">
        <f>$CO28/$CO$38*'Bázis modell AKM-ei'!DG$38</f>
        <v>278115.28650299553</v>
      </c>
      <c r="DH28" s="317">
        <f>$CP28/$CP$38*'Bázis modell AKM-ei'!DH$38</f>
        <v>783097.25925362308</v>
      </c>
      <c r="DI28" s="318">
        <f>$CQ28/$CQ$38*'Bázis modell AKM-ei'!DI$38</f>
        <v>588645.32358278683</v>
      </c>
      <c r="DJ28" s="90">
        <f t="shared" si="165"/>
        <v>1649857.8693394053</v>
      </c>
      <c r="DK28" s="316">
        <f>'Bázis modell AKM-ei'!DK$32*$CS28/$CS$32</f>
        <v>13423389.156707663</v>
      </c>
      <c r="DL28" s="317">
        <f>'Bázis modell AKM-ei'!DL$32*$CT28/$CT$32</f>
        <v>141518.27679435155</v>
      </c>
      <c r="DM28" s="318">
        <f>'Bázis modell AKM-ei'!DM$32*$CU28/$CU$32</f>
        <v>439738.59582414693</v>
      </c>
      <c r="DN28" s="90">
        <f t="shared" si="166"/>
        <v>14004646.029326161</v>
      </c>
      <c r="DO28" s="322">
        <v>15654503.898665566</v>
      </c>
      <c r="DP28" s="316">
        <f>$CO28/$CO$38*'Bázis modell AKM-ei'!DP$38</f>
        <v>288613.01200282777</v>
      </c>
      <c r="DQ28" s="317">
        <f>$CP28/$CP$38*'Bázis modell AKM-ei'!DQ$38</f>
        <v>813628.80949699949</v>
      </c>
      <c r="DR28" s="318">
        <f>$CQ28/$CQ$38*'Bázis modell AKM-ei'!DR$38</f>
        <v>606169.40797729394</v>
      </c>
      <c r="DS28" s="90">
        <f t="shared" si="167"/>
        <v>1708411.2294771213</v>
      </c>
      <c r="DT28" s="316">
        <f>'Bázis modell AKM-ei'!DT$32*$CS28/$CS$32</f>
        <v>13806140.706318265</v>
      </c>
      <c r="DU28" s="317">
        <f>'Bázis modell AKM-ei'!DU$32*$CT28/$CT$32</f>
        <v>148940.43919941076</v>
      </c>
      <c r="DV28" s="318">
        <f>'Bázis modell AKM-ei'!DV$32*$CU28/$CU$32</f>
        <v>457049.11283335992</v>
      </c>
      <c r="DW28" s="90">
        <f t="shared" si="168"/>
        <v>14412130.258351035</v>
      </c>
      <c r="DX28" s="322">
        <v>16120541.487828158</v>
      </c>
      <c r="DY28" s="316">
        <f>$CO28/$CO$38*'Bázis modell AKM-ei'!DY$38</f>
        <v>299110.73750266072</v>
      </c>
      <c r="DZ28" s="317">
        <f>$CP28/$CP$38*'Bázis modell AKM-ei'!DZ$38</f>
        <v>844160.35974037775</v>
      </c>
      <c r="EA28" s="318">
        <f>$CQ28/$CQ$38*'Bázis modell AKM-ei'!EA$38</f>
        <v>623693.4923718014</v>
      </c>
      <c r="EB28" s="90">
        <f t="shared" si="169"/>
        <v>1766964.5896148398</v>
      </c>
      <c r="EC28" s="316">
        <f>'Bázis modell AKM-ei'!EC$32*$CS28/$CS$32</f>
        <v>14188892.25592887</v>
      </c>
      <c r="ED28" s="317">
        <f>'Bázis modell AKM-ei'!ED$32*$CT28/$CT$32</f>
        <v>156362.60160447273</v>
      </c>
      <c r="EE28" s="318">
        <f>'Bázis modell AKM-ei'!EE$32*$CU28/$CU$32</f>
        <v>474359.6298425729</v>
      </c>
      <c r="EF28" s="90">
        <f t="shared" si="170"/>
        <v>14819614.487375917</v>
      </c>
      <c r="EG28" s="322">
        <v>16586579.076990757</v>
      </c>
      <c r="EH28" s="316">
        <f>$CO28/$CO$38*'Bázis modell AKM-ei'!EH$38</f>
        <v>309608.46300249355</v>
      </c>
      <c r="EI28" s="317">
        <f>$CP28/$CP$38*'Bázis modell AKM-ei'!EI$38</f>
        <v>874691.90998375486</v>
      </c>
      <c r="EJ28" s="318">
        <f>$CQ28/$CQ$38*'Bázis modell AKM-ei'!EJ$38</f>
        <v>641217.57676631247</v>
      </c>
      <c r="EK28" s="90">
        <f t="shared" si="171"/>
        <v>1825517.9497525608</v>
      </c>
      <c r="EL28" s="316">
        <f>'Bázis modell AKM-ei'!EL$32*$CS28/$CS$32</f>
        <v>14571643.80553958</v>
      </c>
      <c r="EM28" s="317">
        <f>'Bázis modell AKM-ei'!EM$32*$CT28/$CT$32</f>
        <v>163784.76400953191</v>
      </c>
      <c r="EN28" s="318">
        <f>'Bázis modell AKM-ei'!EN$32*$CU28/$CU$32</f>
        <v>491670.14685178589</v>
      </c>
      <c r="EO28" s="90">
        <f t="shared" si="172"/>
        <v>15227098.716400897</v>
      </c>
      <c r="EP28" s="322">
        <v>17052616.666153457</v>
      </c>
    </row>
    <row r="29" spans="2:146" ht="15" thickBot="1" x14ac:dyDescent="0.4">
      <c r="B29" t="str">
        <f t="shared" si="138"/>
        <v>Folyó termelőfelhasználás/ Végső felhasználás alapáron, hazai kibocsátásból</v>
      </c>
      <c r="C29" s="90">
        <f>SUM(C26:C28)</f>
        <v>3374127.8262126134</v>
      </c>
      <c r="D29" s="90">
        <f t="shared" ref="D29:E29" si="173">SUM(D26:D28)</f>
        <v>11546853.1162645</v>
      </c>
      <c r="E29" s="90">
        <f t="shared" si="173"/>
        <v>3184127.9185561673</v>
      </c>
      <c r="F29" s="90">
        <f t="shared" si="141"/>
        <v>18105108.861033279</v>
      </c>
      <c r="G29" s="90">
        <f>SUM(G26:G28)</f>
        <v>17503174.575819284</v>
      </c>
      <c r="H29" s="90">
        <f>SUM(H26:H28)</f>
        <v>4693716.5634721788</v>
      </c>
      <c r="I29" s="90">
        <f>SUM(I26:I28)</f>
        <v>21823956.349187993</v>
      </c>
      <c r="J29" s="90">
        <f t="shared" si="142"/>
        <v>44020847.48847945</v>
      </c>
      <c r="K29" s="90">
        <f>SUM(K26:K28)</f>
        <v>62125956.349512734</v>
      </c>
      <c r="L29" s="221">
        <f>SUM(L26:L28)</f>
        <v>3493520.5769926147</v>
      </c>
      <c r="M29" s="90">
        <f t="shared" ref="M29" si="174">SUM(M26:M28)</f>
        <v>11969250.313905323</v>
      </c>
      <c r="N29" s="90">
        <f t="shared" ref="N29" si="175">SUM(N26:N28)</f>
        <v>3216303.5854651472</v>
      </c>
      <c r="O29" s="90">
        <f t="shared" si="143"/>
        <v>18679074.476363085</v>
      </c>
      <c r="P29" s="90">
        <f>SUM(P26:P28)</f>
        <v>17627955.138794702</v>
      </c>
      <c r="Q29" s="90">
        <f>SUM(Q26:Q28)</f>
        <v>4568148.3964207256</v>
      </c>
      <c r="R29" s="90">
        <f>SUM(R26:R28)</f>
        <v>23222377.569509525</v>
      </c>
      <c r="S29" s="90">
        <f t="shared" si="144"/>
        <v>45418481.104724951</v>
      </c>
      <c r="T29" s="90">
        <f>SUM(T26:T28)</f>
        <v>64097555.581088036</v>
      </c>
      <c r="U29" s="221">
        <f>SUM(U26:U28)</f>
        <v>3417873.4507057443</v>
      </c>
      <c r="V29" s="90">
        <f t="shared" ref="V29" si="176">SUM(V26:V28)</f>
        <v>11690827.804396397</v>
      </c>
      <c r="W29" s="90">
        <f t="shared" ref="W29" si="177">SUM(W26:W28)</f>
        <v>3150602.3484898699</v>
      </c>
      <c r="X29" s="90">
        <f t="shared" si="145"/>
        <v>18259303.603592012</v>
      </c>
      <c r="Y29" s="90">
        <f>SUM(Y26:Y28)</f>
        <v>17274935.076838434</v>
      </c>
      <c r="Z29" s="90">
        <f>SUM(Z26:Z28)</f>
        <v>4293639.0601937948</v>
      </c>
      <c r="AA29" s="90">
        <f>SUM(AA26:AA28)</f>
        <v>22826719.361046042</v>
      </c>
      <c r="AB29" s="90">
        <f t="shared" si="146"/>
        <v>44395293.498078272</v>
      </c>
      <c r="AC29" s="90">
        <f>SUM(AC26:AC28)</f>
        <v>62654597.101670273</v>
      </c>
      <c r="AD29" s="221">
        <f>SUM(AD26:AD28)</f>
        <v>2906517.4222208764</v>
      </c>
      <c r="AE29" s="90">
        <f t="shared" ref="AE29" si="178">SUM(AE26:AE28)</f>
        <v>10522026.960284621</v>
      </c>
      <c r="AF29" s="90">
        <f t="shared" ref="AF29" si="179">SUM(AF26:AF28)</f>
        <v>2977279.3929946078</v>
      </c>
      <c r="AG29" s="90">
        <f t="shared" si="147"/>
        <v>16405823.775500104</v>
      </c>
      <c r="AH29" s="90">
        <f>SUM(AH26:AH28)</f>
        <v>17055475.826427132</v>
      </c>
      <c r="AI29" s="90">
        <f>SUM(AI26:AI28)</f>
        <v>4664291.254104197</v>
      </c>
      <c r="AJ29" s="90">
        <f>SUM(AJ26:AJ28)</f>
        <v>23596224.011851557</v>
      </c>
      <c r="AK29" s="90">
        <f t="shared" si="148"/>
        <v>45315991.092382886</v>
      </c>
      <c r="AL29" s="90">
        <f>SUM(AL26:AL28)</f>
        <v>61721814.867882997</v>
      </c>
      <c r="AM29" s="221">
        <f>SUM(AM26:AM28)</f>
        <v>3129107.809957156</v>
      </c>
      <c r="AN29" s="90">
        <f t="shared" ref="AN29" si="180">SUM(AN26:AN28)</f>
        <v>11387560.080508012</v>
      </c>
      <c r="AO29" s="90">
        <f t="shared" ref="AO29" si="181">SUM(AO26:AO28)</f>
        <v>3086869.1793489549</v>
      </c>
      <c r="AP29" s="90">
        <f t="shared" si="149"/>
        <v>17603537.069814123</v>
      </c>
      <c r="AQ29" s="90">
        <f>SUM(AQ26:AQ28)</f>
        <v>17594823.37990009</v>
      </c>
      <c r="AR29" s="90">
        <f>SUM(AR26:AR28)</f>
        <v>5264299.7937876768</v>
      </c>
      <c r="AS29" s="90">
        <f>SUM(AS26:AS28)</f>
        <v>25766553.684590369</v>
      </c>
      <c r="AT29" s="90">
        <f t="shared" si="150"/>
        <v>48625676.85827814</v>
      </c>
      <c r="AU29" s="90">
        <f>SUM(AU26:AU28)</f>
        <v>66229213.928092256</v>
      </c>
      <c r="AV29" s="90">
        <f>SUM(AV26:AV28)</f>
        <v>3293024.5804185532</v>
      </c>
      <c r="AW29" s="90">
        <f t="shared" ref="AW29" si="182">SUM(AW26:AW28)</f>
        <v>12008257.291608388</v>
      </c>
      <c r="AX29" s="90">
        <f t="shared" ref="AX29" si="183">SUM(AX26:AX28)</f>
        <v>3193946.6070319121</v>
      </c>
      <c r="AY29" s="90">
        <f t="shared" si="151"/>
        <v>18495228.479058854</v>
      </c>
      <c r="AZ29" s="90">
        <f>SUM(AZ26:AZ28)</f>
        <v>18168046.535797503</v>
      </c>
      <c r="BA29" s="90">
        <f>SUM(BA26:BA28)</f>
        <v>5256686.3577642078</v>
      </c>
      <c r="BB29" s="90">
        <f>SUM(BB26:BB28)</f>
        <v>27664357.691289842</v>
      </c>
      <c r="BC29" s="90">
        <f t="shared" si="152"/>
        <v>51089090.584851548</v>
      </c>
      <c r="BD29" s="90">
        <f>SUM(BD26:BD28)</f>
        <v>69584319.063910395</v>
      </c>
      <c r="BE29" s="221">
        <f>SUM(BE26:BE28)</f>
        <v>3387676.2094292105</v>
      </c>
      <c r="BF29" s="90">
        <f t="shared" ref="BF29" si="184">SUM(BF26:BF28)</f>
        <v>12340884.444165671</v>
      </c>
      <c r="BG29" s="90">
        <f t="shared" ref="BG29" si="185">SUM(BG26:BG28)</f>
        <v>3305009.9813318537</v>
      </c>
      <c r="BH29" s="90">
        <f t="shared" si="153"/>
        <v>19033570.634926736</v>
      </c>
      <c r="BI29" s="90">
        <f>SUM(BI26:BI28)</f>
        <v>18819335.582043178</v>
      </c>
      <c r="BJ29" s="90">
        <f>SUM(BJ26:BJ28)</f>
        <v>5039564.3770577861</v>
      </c>
      <c r="BK29" s="90">
        <f>SUM(BK26:BK28)</f>
        <v>28716760.540253483</v>
      </c>
      <c r="BL29" s="90">
        <f t="shared" si="154"/>
        <v>52575660.499354452</v>
      </c>
      <c r="BM29" s="90">
        <f>SUM(BM26:BM28)</f>
        <v>71609231.134281188</v>
      </c>
      <c r="BN29" s="221">
        <f>SUM(BN26:BN28)</f>
        <v>3599723.5291945525</v>
      </c>
      <c r="BO29" s="90">
        <f t="shared" ref="BO29" si="186">SUM(BO26:BO28)</f>
        <v>13142633.04371806</v>
      </c>
      <c r="BP29" s="90">
        <f t="shared" ref="BP29" si="187">SUM(BP26:BP28)</f>
        <v>3455755.2161708265</v>
      </c>
      <c r="BQ29" s="90">
        <f t="shared" si="155"/>
        <v>20198111.78908344</v>
      </c>
      <c r="BR29" s="90">
        <f>SUM(BR26:BR28)</f>
        <v>19632337.453166641</v>
      </c>
      <c r="BS29" s="90">
        <f>SUM(BS26:BS28)</f>
        <v>5584533.4589432385</v>
      </c>
      <c r="BT29" s="90">
        <f>SUM(BT26:BT28)</f>
        <v>30576298.555291496</v>
      </c>
      <c r="BU29" s="90">
        <f t="shared" si="156"/>
        <v>55793169.467401378</v>
      </c>
      <c r="BV29" s="90">
        <f>SUM(BV26:BV28)</f>
        <v>75991281.256484821</v>
      </c>
      <c r="BW29" s="221">
        <f>SUM(BW26:BW28)</f>
        <v>3692373.3201863891</v>
      </c>
      <c r="BX29" s="90">
        <f t="shared" ref="BX29" si="188">SUM(BX26:BX28)</f>
        <v>14145353.274458827</v>
      </c>
      <c r="BY29" s="90">
        <f t="shared" ref="BY29" si="189">SUM(BY26:BY28)</f>
        <v>3647683.953804797</v>
      </c>
      <c r="BZ29" s="90">
        <f t="shared" si="157"/>
        <v>21485410.548450015</v>
      </c>
      <c r="CA29" s="90">
        <f>SUM(CA26:CA28)</f>
        <v>20728635.085115917</v>
      </c>
      <c r="CB29" s="90">
        <f>SUM(CB26:CB28)</f>
        <v>6618889.0289006233</v>
      </c>
      <c r="CC29" s="90">
        <f>SUM(CC26:CC28)</f>
        <v>31994420.642978463</v>
      </c>
      <c r="CD29" s="90">
        <f t="shared" si="158"/>
        <v>59341944.756995007</v>
      </c>
      <c r="CE29" s="90">
        <f>SUM(CE26:CE28)</f>
        <v>80827355.30544503</v>
      </c>
      <c r="CF29" s="221">
        <f>SUM(CF26:CF28)</f>
        <v>3907422.8518417962</v>
      </c>
      <c r="CG29" s="90">
        <f t="shared" ref="CG29" si="190">SUM(CG26:CG28)</f>
        <v>15006003.799747651</v>
      </c>
      <c r="CH29" s="90">
        <f t="shared" ref="CH29" si="191">SUM(CH26:CH28)</f>
        <v>3810431.7872142983</v>
      </c>
      <c r="CI29" s="90">
        <f t="shared" si="159"/>
        <v>22723858.438803744</v>
      </c>
      <c r="CJ29" s="90">
        <f>SUM(CJ26:CJ28)</f>
        <v>21608816.671599813</v>
      </c>
      <c r="CK29" s="90">
        <f>SUM(CK26:CK28)</f>
        <v>7307518.0378669882</v>
      </c>
      <c r="CL29" s="90">
        <f>SUM(CL26:CL28)</f>
        <v>33845528.234369218</v>
      </c>
      <c r="CM29" s="90">
        <f t="shared" si="160"/>
        <v>62761862.943836018</v>
      </c>
      <c r="CN29" s="90">
        <f>SUM(CN26:CN28)</f>
        <v>85485721.382639766</v>
      </c>
      <c r="CO29" s="90">
        <f>SUM(CO26:CO28)</f>
        <v>3914321.0979521023</v>
      </c>
      <c r="CP29" s="90">
        <f t="shared" ref="CP29" si="192">SUM(CP26:CP28)</f>
        <v>15032112.304485125</v>
      </c>
      <c r="CQ29" s="90">
        <f t="shared" ref="CQ29" si="193">SUM(CQ26:CQ28)</f>
        <v>3772276.0124837877</v>
      </c>
      <c r="CR29" s="90">
        <f t="shared" si="161"/>
        <v>22718709.414921016</v>
      </c>
      <c r="CS29" s="90">
        <f>SUM(CS26:CS28)</f>
        <v>21364266.11642826</v>
      </c>
      <c r="CT29" s="90">
        <f>SUM(CT26:CT28)</f>
        <v>6833630.9071598873</v>
      </c>
      <c r="CU29" s="90">
        <f>SUM(CU26:CU28)</f>
        <v>34547136.74839247</v>
      </c>
      <c r="CV29" s="90">
        <f t="shared" si="162"/>
        <v>62745033.771980613</v>
      </c>
      <c r="CW29" s="90">
        <f>SUM(CW26:CW28)</f>
        <v>85463743.186901629</v>
      </c>
      <c r="CX29" s="221">
        <f>SUM(CX26:CX28)</f>
        <v>4148975.0714232195</v>
      </c>
      <c r="CY29" s="90">
        <f t="shared" ref="CY29:CZ29" si="194">SUM(CY26:CY28)</f>
        <v>15961033.605503801</v>
      </c>
      <c r="CZ29" s="90">
        <f t="shared" si="194"/>
        <v>3976534.1386987064</v>
      </c>
      <c r="DA29" s="90">
        <f t="shared" si="163"/>
        <v>24086542.815625727</v>
      </c>
      <c r="DB29" s="90">
        <f>SUM(DB26:DB28)</f>
        <v>22496626.761005357</v>
      </c>
      <c r="DC29" s="90">
        <f>SUM(DC26:DC28)</f>
        <v>7638704.8155201012</v>
      </c>
      <c r="DD29" s="90">
        <f>SUM(DD26:DD28)</f>
        <v>36387839.182948664</v>
      </c>
      <c r="DE29" s="90">
        <f t="shared" si="164"/>
        <v>66523170.759474121</v>
      </c>
      <c r="DF29" s="90">
        <f>SUM(DF26:DF28)</f>
        <v>90609713.575099841</v>
      </c>
      <c r="DG29" s="221">
        <f>SUM(DG26:DG28)</f>
        <v>4311725.2334162621</v>
      </c>
      <c r="DH29" s="90">
        <f t="shared" ref="DH29:DI29" si="195">SUM(DH26:DH28)</f>
        <v>16608571.878412293</v>
      </c>
      <c r="DI29" s="90">
        <f t="shared" si="195"/>
        <v>4098548.7217025468</v>
      </c>
      <c r="DJ29" s="90">
        <f t="shared" si="165"/>
        <v>25018845.8335311</v>
      </c>
      <c r="DK29" s="90">
        <f>SUM(DK26:DK28)</f>
        <v>23156917.999303401</v>
      </c>
      <c r="DL29" s="90">
        <f>SUM(DL26:DL28)</f>
        <v>8061503.8501029052</v>
      </c>
      <c r="DM29" s="90">
        <f>SUM(DM26:DM28)</f>
        <v>37878962.384020001</v>
      </c>
      <c r="DN29" s="90">
        <f t="shared" si="166"/>
        <v>69097384.233426303</v>
      </c>
      <c r="DO29" s="90">
        <f>SUM(DO26:DO28)</f>
        <v>94116230.066957399</v>
      </c>
      <c r="DP29" s="221">
        <f>SUM(DP26:DP28)</f>
        <v>4474475.3954093046</v>
      </c>
      <c r="DQ29" s="90">
        <f t="shared" ref="DQ29:DR29" si="196">SUM(DQ26:DQ28)</f>
        <v>17256110.151320796</v>
      </c>
      <c r="DR29" s="90">
        <f t="shared" si="196"/>
        <v>4220563.3047063872</v>
      </c>
      <c r="DS29" s="90">
        <f t="shared" si="167"/>
        <v>25951148.851436488</v>
      </c>
      <c r="DT29" s="90">
        <f>SUM(DT26:DT28)</f>
        <v>23817209.237601444</v>
      </c>
      <c r="DU29" s="90">
        <f>SUM(DU26:DU28)</f>
        <v>8484302.8846857082</v>
      </c>
      <c r="DV29" s="90">
        <f>SUM(DV26:DV28)</f>
        <v>39370085.585091345</v>
      </c>
      <c r="DW29" s="90">
        <f t="shared" si="168"/>
        <v>71671597.707378507</v>
      </c>
      <c r="DX29" s="90">
        <f>SUM(DX26:DX28)</f>
        <v>97622746.558815002</v>
      </c>
      <c r="DY29" s="221">
        <f>SUM(DY26:DY28)</f>
        <v>4637225.5574023575</v>
      </c>
      <c r="DZ29" s="90">
        <f t="shared" ref="DZ29:EA29" si="197">SUM(DZ26:DZ28)</f>
        <v>17903648.424229339</v>
      </c>
      <c r="EA29" s="90">
        <f t="shared" si="197"/>
        <v>4342577.8877102295</v>
      </c>
      <c r="EB29" s="90">
        <f t="shared" si="169"/>
        <v>26883451.869341925</v>
      </c>
      <c r="EC29" s="90">
        <f>SUM(EC26:EC28)</f>
        <v>24477500.475899491</v>
      </c>
      <c r="ED29" s="90">
        <f>SUM(ED26:ED28)</f>
        <v>8907101.9192686696</v>
      </c>
      <c r="EE29" s="90">
        <f>SUM(EE26:EE28)</f>
        <v>40861208.786162689</v>
      </c>
      <c r="EF29" s="90">
        <f t="shared" si="170"/>
        <v>74245811.18133086</v>
      </c>
      <c r="EG29" s="90">
        <f>SUM(EG26:EG28)</f>
        <v>101129263.05067277</v>
      </c>
      <c r="EH29" s="221">
        <f>SUM(EH26:EH28)</f>
        <v>4799975.7193954103</v>
      </c>
      <c r="EI29" s="90">
        <f t="shared" ref="EI29:EJ29" si="198">SUM(EI26:EI28)</f>
        <v>18551186.697137859</v>
      </c>
      <c r="EJ29" s="90">
        <f t="shared" si="198"/>
        <v>4464592.4707140988</v>
      </c>
      <c r="EK29" s="90">
        <f t="shared" si="171"/>
        <v>27815754.887247369</v>
      </c>
      <c r="EL29" s="90">
        <f>SUM(EL26:EL28)</f>
        <v>25137791.714197718</v>
      </c>
      <c r="EM29" s="90">
        <f>SUM(EM26:EM28)</f>
        <v>9329900.9538514726</v>
      </c>
      <c r="EN29" s="90">
        <f>SUM(EN26:EN28)</f>
        <v>42352331.987234019</v>
      </c>
      <c r="EO29" s="90">
        <f t="shared" si="172"/>
        <v>76820024.655283213</v>
      </c>
      <c r="EP29" s="90">
        <f>SUM(EP26:EP28)</f>
        <v>104635779.54253058</v>
      </c>
    </row>
    <row r="30" spans="2:146" ht="15" thickBot="1" x14ac:dyDescent="0.4">
      <c r="B30" t="str">
        <f t="shared" si="138"/>
        <v>Importált termékek és szolgáltatások  felhasználása összesen, c.i.f.-en</v>
      </c>
      <c r="C30" s="255">
        <v>1378884.6615827244</v>
      </c>
      <c r="D30" s="256">
        <v>14894902.738615446</v>
      </c>
      <c r="E30" s="257">
        <v>734055.13126739406</v>
      </c>
      <c r="F30" s="90">
        <f t="shared" si="141"/>
        <v>17007842.531465564</v>
      </c>
      <c r="G30" s="246">
        <v>2384061.4628266138</v>
      </c>
      <c r="H30" s="247">
        <v>2243364.8892708505</v>
      </c>
      <c r="I30" s="248">
        <v>1939795.589561546</v>
      </c>
      <c r="J30" s="90">
        <f t="shared" si="142"/>
        <v>6567221.9416590109</v>
      </c>
      <c r="K30" s="90">
        <f>F30+J30</f>
        <v>23575064.473124575</v>
      </c>
      <c r="L30" s="310">
        <f t="shared" ref="L30:N31" si="199">C30/C$38*L$38</f>
        <v>1427676.1837875915</v>
      </c>
      <c r="M30" s="311">
        <f t="shared" si="199"/>
        <v>15439775.450909821</v>
      </c>
      <c r="N30" s="312">
        <f t="shared" si="199"/>
        <v>741472.7708850879</v>
      </c>
      <c r="O30" s="90">
        <f t="shared" si="143"/>
        <v>17608924.405582499</v>
      </c>
      <c r="P30" s="310">
        <f t="shared" ref="P30:R31" si="200">P$32*G30/G$32</f>
        <v>2401057.4957582895</v>
      </c>
      <c r="Q30" s="311">
        <f t="shared" si="200"/>
        <v>2183349.5020262185</v>
      </c>
      <c r="R30" s="312">
        <f t="shared" si="200"/>
        <v>2064092.5443449034</v>
      </c>
      <c r="S30" s="90">
        <f t="shared" si="144"/>
        <v>6648499.5421294123</v>
      </c>
      <c r="T30" s="90">
        <f>O30+S30</f>
        <v>24257423.947711911</v>
      </c>
      <c r="U30" s="310">
        <f>L30/L$38*'Bázis modell AKM-ei'!U$38</f>
        <v>1396761.9246064681</v>
      </c>
      <c r="V30" s="311">
        <f>M30/M$38*'Bázis modell AKM-ei'!V$38</f>
        <v>15080623.380850555</v>
      </c>
      <c r="W30" s="312">
        <f>N30/N$38*'Bázis modell AKM-ei'!W$38</f>
        <v>726326.29079198081</v>
      </c>
      <c r="X30" s="90">
        <f t="shared" si="145"/>
        <v>17203711.596249003</v>
      </c>
      <c r="Y30" s="310">
        <f>'Bázis modell AKM-ei'!Y$32*P30/P$32</f>
        <v>2352973.5598031906</v>
      </c>
      <c r="Z30" s="311">
        <f>'Bázis modell AKM-ei'!Z$32*Q30/Q$32</f>
        <v>2052147.5859452467</v>
      </c>
      <c r="AA30" s="312">
        <f>'Bázis modell AKM-ei'!AA$32*R30/R$32</f>
        <v>2028924.9498230312</v>
      </c>
      <c r="AB30" s="90">
        <f t="shared" si="146"/>
        <v>6434046.0955714686</v>
      </c>
      <c r="AC30" s="90">
        <f>X30+AB30</f>
        <v>23637757.691820472</v>
      </c>
      <c r="AD30" s="310">
        <f>$AV30/$AV$38*'Bázis modell AKM-ei'!AD$38</f>
        <v>1623144.867877986</v>
      </c>
      <c r="AE30" s="311">
        <f>$AW30/$AW$38*'Bázis modell AKM-ei'!AE$38</f>
        <v>15264386.235009467</v>
      </c>
      <c r="AF30" s="312">
        <f>$AX30/$AX$38*'Bázis modell AKM-ei'!AF$38</f>
        <v>1029358.2940441472</v>
      </c>
      <c r="AG30" s="90">
        <f t="shared" si="147"/>
        <v>17916889.3969316</v>
      </c>
      <c r="AH30" s="310">
        <f>'Bázis modell AKM-ei'!AH$32*$AZ30/$AZ$32</f>
        <v>2479864.5391403707</v>
      </c>
      <c r="AI30" s="311">
        <f>'Bázis modell AKM-ei'!AI$32*$BA30/$BA$32</f>
        <v>2048563.3233777194</v>
      </c>
      <c r="AJ30" s="312">
        <f>'Bázis modell AKM-ei'!AJ$32*$BB30/$BB$32</f>
        <v>2240035.0758226705</v>
      </c>
      <c r="AK30" s="90">
        <f t="shared" si="148"/>
        <v>6768462.9383407608</v>
      </c>
      <c r="AL30" s="90">
        <f>AG30+AK30</f>
        <v>24685352.335272361</v>
      </c>
      <c r="AM30" s="310">
        <f>$AV30/$AV$38*'Bázis modell AKM-ei'!AM$38</f>
        <v>1747450.4862551314</v>
      </c>
      <c r="AN30" s="311">
        <f>$AW30/$AW$38*'Bázis modell AKM-ei'!AN$38</f>
        <v>16520021.855042638</v>
      </c>
      <c r="AO30" s="312">
        <f>$AX30/$AX$38*'Bázis modell AKM-ei'!AO$38</f>
        <v>1067247.6354985649</v>
      </c>
      <c r="AP30" s="90">
        <f t="shared" si="149"/>
        <v>19334719.976796333</v>
      </c>
      <c r="AQ30" s="310">
        <f>'Bázis modell AKM-ei'!AQ$32*$AZ30/$AZ$32</f>
        <v>2558285.6213629646</v>
      </c>
      <c r="AR30" s="311">
        <f>'Bázis modell AKM-ei'!AR$32*$BA30/$BA$32</f>
        <v>2312087.9236109159</v>
      </c>
      <c r="AS30" s="312">
        <f>'Bázis modell AKM-ei'!AS$32*$BB30/$BB$32</f>
        <v>2446068.6594414669</v>
      </c>
      <c r="AT30" s="90">
        <f t="shared" si="150"/>
        <v>7316442.2044153474</v>
      </c>
      <c r="AU30" s="90">
        <f>AP30+AT30</f>
        <v>26651162.18121168</v>
      </c>
      <c r="AV30" s="255">
        <f>'[5]Tény 2015'!D95/'[5]Tény 2015'!D$106*'Bázis modell AKM-ei'!AV$38</f>
        <v>1838989.8187564497</v>
      </c>
      <c r="AW30" s="256">
        <f>'[5]Tény 2015'!E95/'[5]Tény 2015'!E$106*'Bázis modell AKM-ei'!AW$38</f>
        <v>17420472.120090529</v>
      </c>
      <c r="AX30" s="257">
        <f>'[5]Tény 2015'!F95/'[5]Tény 2015'!F$106*'Bázis modell AKM-ei'!AX$38</f>
        <v>1104268.3593680507</v>
      </c>
      <c r="AY30" s="90">
        <f t="shared" si="151"/>
        <v>20363730.298215032</v>
      </c>
      <c r="AZ30" s="246">
        <f>'Bázis modell AKM-ei'!AZ$32*'[5]Tény 2015'!K95/'[5]Tény 2015'!K$97</f>
        <v>2641632.2129087429</v>
      </c>
      <c r="BA30" s="247">
        <f>'Bázis modell AKM-ei'!BA$32*'[5]Tény 2015'!O95/'[5]Tény 2015'!O$97</f>
        <v>2308744.0917288829</v>
      </c>
      <c r="BB30" s="248">
        <f>'Bázis modell AKM-ei'!BB$32*'[5]Tény 2015'!S95/'[5]Tény 2015'!S$97</f>
        <v>2626230.8557279753</v>
      </c>
      <c r="BC30" s="90">
        <f t="shared" si="152"/>
        <v>7576607.1603656011</v>
      </c>
      <c r="BD30" s="90">
        <f>AY30+BC30</f>
        <v>27940337.458580632</v>
      </c>
      <c r="BE30" s="310">
        <f>$AV30/$AV$38*'Bázis modell AKM-ei'!BE$38</f>
        <v>1891848.0279281489</v>
      </c>
      <c r="BF30" s="311">
        <f>$AW30/$AW$38*'Bázis modell AKM-ei'!BF$38</f>
        <v>17903016.913793325</v>
      </c>
      <c r="BG30" s="312">
        <f>$AX30/$AX$38*'Bázis modell AKM-ei'!BG$38</f>
        <v>1142667.1760088985</v>
      </c>
      <c r="BH30" s="90">
        <f t="shared" si="153"/>
        <v>20937532.117730372</v>
      </c>
      <c r="BI30" s="310">
        <f>'Bázis modell AKM-ei'!BI$32*$AZ30/$AZ$32</f>
        <v>2736329.5773770292</v>
      </c>
      <c r="BJ30" s="311">
        <f>'Bázis modell AKM-ei'!BJ$32*$BA30/$BA$32</f>
        <v>2213383.8103607493</v>
      </c>
      <c r="BK30" s="312">
        <f>'Bázis modell AKM-ei'!BK$32*$BB30/$BB$32</f>
        <v>2726137.4888566574</v>
      </c>
      <c r="BL30" s="90">
        <f t="shared" si="154"/>
        <v>7675850.8765944364</v>
      </c>
      <c r="BM30" s="90">
        <f>BH30+BL30</f>
        <v>28613382.994324807</v>
      </c>
      <c r="BN30" s="310">
        <f>$AV30/$AV$38*'Bázis modell AKM-ei'!BN$38</f>
        <v>2010265.8692226992</v>
      </c>
      <c r="BO30" s="311">
        <f>$AW30/$AW$38*'Bázis modell AKM-ei'!BO$38</f>
        <v>19066119.834279906</v>
      </c>
      <c r="BP30" s="312">
        <f>$AX30/$AX$38*'Bázis modell AKM-ei'!BP$38</f>
        <v>1194785.5153673876</v>
      </c>
      <c r="BQ30" s="90">
        <f t="shared" si="155"/>
        <v>22271171.218869995</v>
      </c>
      <c r="BR30" s="310">
        <f>'Bázis modell AKM-ei'!BR$32*$AZ30/$AZ$32</f>
        <v>2854539.970975657</v>
      </c>
      <c r="BS30" s="311">
        <f>'Bázis modell AKM-ei'!BS$32*$BA30/$BA$32</f>
        <v>2452735.0027939025</v>
      </c>
      <c r="BT30" s="312">
        <f>'Bázis modell AKM-ei'!BT$32*$BB30/$BB$32</f>
        <v>2902667.0207181391</v>
      </c>
      <c r="BU30" s="90">
        <f t="shared" si="156"/>
        <v>8209941.9944876991</v>
      </c>
      <c r="BV30" s="90">
        <f>BQ30+BU30</f>
        <v>30481113.213357694</v>
      </c>
      <c r="BW30" s="310">
        <f>$CO30/$CO$38*'Bázis modell AKM-ei'!BW$38</f>
        <v>2003740.9581957734</v>
      </c>
      <c r="BX30" s="311">
        <f>$CP30/$CP$38*'Bázis modell AKM-ei'!BX$38</f>
        <v>19820399.173922103</v>
      </c>
      <c r="BY30" s="312">
        <f>$CQ30/$CQ$38*'Bázis modell AKM-ei'!BY$38</f>
        <v>1213492.8478887526</v>
      </c>
      <c r="BZ30" s="90">
        <f t="shared" si="157"/>
        <v>23037632.980006628</v>
      </c>
      <c r="CA30" s="310">
        <f>'Bázis modell AKM-ei'!CA$32*$CS30/$CS$32</f>
        <v>2868152.7828926463</v>
      </c>
      <c r="CB30" s="311">
        <f>'Bázis modell AKM-ei'!CB$32*$CT30/$CT$32</f>
        <v>2749718.5871234303</v>
      </c>
      <c r="CC30" s="312">
        <f>'Bázis modell AKM-ei'!CC$32*$CU30/$CU$32</f>
        <v>3164203.5047535207</v>
      </c>
      <c r="CD30" s="90">
        <f t="shared" si="158"/>
        <v>8782074.8747695982</v>
      </c>
      <c r="CE30" s="90">
        <f>BZ30+CD30</f>
        <v>31819707.854776226</v>
      </c>
      <c r="CF30" s="310">
        <f>$CO30/$CO$38*'Bázis modell AKM-ei'!CF$38</f>
        <v>2120441.9299699399</v>
      </c>
      <c r="CG30" s="311">
        <f>$CP30/$CP$38*'Bázis modell AKM-ei'!CG$38</f>
        <v>21026338.441007871</v>
      </c>
      <c r="CH30" s="312">
        <f>$CQ30/$CQ$38*'Bázis modell AKM-ei'!CH$38</f>
        <v>1267634.9650109939</v>
      </c>
      <c r="CI30" s="90">
        <f t="shared" si="159"/>
        <v>24414415.335988805</v>
      </c>
      <c r="CJ30" s="310">
        <f>'Bázis modell AKM-ei'!CJ$32*$CS30/$CS$32</f>
        <v>2989940.6023201467</v>
      </c>
      <c r="CK30" s="311">
        <f>'Bázis modell AKM-ei'!CK$32*$CT30/$CT$32</f>
        <v>3035799.2235141131</v>
      </c>
      <c r="CL30" s="312">
        <f>'Bázis modell AKM-ei'!CL$32*$CU30/$CU$32</f>
        <v>3347275.45950823</v>
      </c>
      <c r="CM30" s="90">
        <f t="shared" si="160"/>
        <v>9373015.2853424884</v>
      </c>
      <c r="CN30" s="90">
        <f>CI30+CM30</f>
        <v>33787430.621331289</v>
      </c>
      <c r="CO30" s="255">
        <f>'[6]ÁKM agg 3x3'!C8/'[6]ÁKM agg 3x3'!C$16*'Bázis modell AKM-ei'!CO$38</f>
        <v>2124185.4025476906</v>
      </c>
      <c r="CP30" s="256">
        <f>'[6]ÁKM agg 3x3'!D8/'[6]ÁKM agg 3x3'!D$16*'Bázis modell AKM-ei'!CP$38</f>
        <v>21062921.548950847</v>
      </c>
      <c r="CQ30" s="257">
        <f>'[6]ÁKM agg 3x3'!E8/'[6]ÁKM agg 3x3'!E$16*'Bázis modell AKM-ei'!CQ$38</f>
        <v>1254941.4969563307</v>
      </c>
      <c r="CR30" s="90">
        <f t="shared" si="161"/>
        <v>24442048.448454868</v>
      </c>
      <c r="CS30" s="246">
        <f>'[6]ÁKM agg 3x3'!G8/'[6]ÁKM agg 3x3'!G$10*'Bázis modell AKM-ei'!CS$32</f>
        <v>2956102.9495999794</v>
      </c>
      <c r="CT30" s="247">
        <f>'[6]ÁKM agg 3x3'!H8/'[6]ÁKM agg 3x3'!H$10*'Bázis modell AKM-ei'!CT$32</f>
        <v>2838929.8930548378</v>
      </c>
      <c r="CU30" s="248">
        <f>'[6]ÁKM agg 3x3'!I8/'[6]ÁKM agg 3x3'!I$10*'Bázis modell AKM-ei'!CU$32</f>
        <v>3416663.5613841885</v>
      </c>
      <c r="CV30" s="90">
        <f t="shared" si="162"/>
        <v>9211696.4040390048</v>
      </c>
      <c r="CW30" s="90">
        <f>CR30+CV30</f>
        <v>33653744.852493875</v>
      </c>
      <c r="CX30" s="310">
        <f>$CO30/$CO$38*'Bázis modell AKM-ei'!CX$38</f>
        <v>2251525.1206300776</v>
      </c>
      <c r="CY30" s="311">
        <f>$CP30/$CP$38*'Bázis modell AKM-ei'!CY$38</f>
        <v>22364521.489943027</v>
      </c>
      <c r="CZ30" s="312">
        <f>$CQ30/$CQ$38*'Bázis modell AKM-ei'!CZ$38</f>
        <v>1322893.0460554296</v>
      </c>
      <c r="DA30" s="90">
        <f t="shared" si="163"/>
        <v>25938939.656628534</v>
      </c>
      <c r="DB30" s="310">
        <f>'Bázis modell AKM-ei'!DB$32*$CS30/$CS$32</f>
        <v>3112783.9525046991</v>
      </c>
      <c r="DC30" s="311">
        <f>'Bázis modell AKM-ei'!DC$32*$CT30/$CT$32</f>
        <v>3173385.8236740399</v>
      </c>
      <c r="DD30" s="312">
        <f>'Bázis modell AKM-ei'!DD$32*$CU30/$CU$32</f>
        <v>3598706.4606641694</v>
      </c>
      <c r="DE30" s="90">
        <f t="shared" si="164"/>
        <v>9884876.236842908</v>
      </c>
      <c r="DF30" s="90">
        <f>DA30+DE30</f>
        <v>35823815.893471442</v>
      </c>
      <c r="DG30" s="310">
        <f>$CO30/$CO$38*'Bázis modell AKM-ei'!DG$38</f>
        <v>2339844.7831505495</v>
      </c>
      <c r="DH30" s="311">
        <f>$CP30/$CP$38*'Bázis modell AKM-ei'!DH$38</f>
        <v>23271848.92110819</v>
      </c>
      <c r="DI30" s="312">
        <f>$CQ30/$CQ$38*'Bázis modell AKM-ei'!DI$38</f>
        <v>1363484.2336935054</v>
      </c>
      <c r="DJ30" s="90">
        <f t="shared" si="165"/>
        <v>26975177.937952247</v>
      </c>
      <c r="DK30" s="310">
        <f>'Bázis modell AKM-ei'!DK$32*$CS30/$CS$32</f>
        <v>3204146.2706152634</v>
      </c>
      <c r="DL30" s="311">
        <f>'Bázis modell AKM-ei'!DL$32*$CT30/$CT$32</f>
        <v>3349031.3676518756</v>
      </c>
      <c r="DM30" s="312">
        <f>'Bázis modell AKM-ei'!DM$32*$CU30/$CU$32</f>
        <v>3746176.4621215854</v>
      </c>
      <c r="DN30" s="90">
        <f t="shared" si="166"/>
        <v>10299354.100388724</v>
      </c>
      <c r="DO30" s="90">
        <f>DJ30+DN30</f>
        <v>37274532.038340971</v>
      </c>
      <c r="DP30" s="310">
        <f>$CO30/$CO$38*'Bázis modell AKM-ei'!DP$38</f>
        <v>2428164.4456710215</v>
      </c>
      <c r="DQ30" s="311">
        <f>$CP30/$CP$38*'Bázis modell AKM-ei'!DQ$38</f>
        <v>24179176.352273364</v>
      </c>
      <c r="DR30" s="312">
        <f>$CQ30/$CQ$38*'Bázis modell AKM-ei'!DR$38</f>
        <v>1404075.4213315812</v>
      </c>
      <c r="DS30" s="90">
        <f t="shared" si="167"/>
        <v>28011416.219275966</v>
      </c>
      <c r="DT30" s="310">
        <f>'Bázis modell AKM-ei'!DT$32*$CS30/$CS$32</f>
        <v>3295508.5887258276</v>
      </c>
      <c r="DU30" s="311">
        <f>'Bázis modell AKM-ei'!DU$32*$CT30/$CT$32</f>
        <v>3524676.9116297108</v>
      </c>
      <c r="DV30" s="312">
        <f>'Bázis modell AKM-ei'!DV$32*$CU30/$CU$32</f>
        <v>3893646.4635790018</v>
      </c>
      <c r="DW30" s="90">
        <f t="shared" si="168"/>
        <v>10713831.963934541</v>
      </c>
      <c r="DX30" s="90">
        <f>DS30+DW30</f>
        <v>38725248.183210507</v>
      </c>
      <c r="DY30" s="310">
        <f>$CO30/$CO$38*'Bázis modell AKM-ei'!DY$38</f>
        <v>2516484.108191499</v>
      </c>
      <c r="DZ30" s="311">
        <f>$CP30/$CP$38*'Bázis modell AKM-ei'!DZ$38</f>
        <v>25086503.783438597</v>
      </c>
      <c r="EA30" s="312">
        <f>$CQ30/$CQ$38*'Bázis modell AKM-ei'!EA$38</f>
        <v>1444666.6089696579</v>
      </c>
      <c r="EB30" s="90">
        <f t="shared" si="169"/>
        <v>29047654.500599753</v>
      </c>
      <c r="EC30" s="310">
        <f>'Bázis modell AKM-ei'!EC$32*$CS30/$CS$32</f>
        <v>3386870.9068363924</v>
      </c>
      <c r="ED30" s="311">
        <f>'Bázis modell AKM-ei'!ED$32*$CT30/$CT$32</f>
        <v>3700322.4556076117</v>
      </c>
      <c r="EE30" s="312">
        <f>'Bázis modell AKM-ei'!EE$32*$CU30/$CU$32</f>
        <v>4041116.4650364183</v>
      </c>
      <c r="EF30" s="90">
        <f t="shared" si="170"/>
        <v>11128309.827480422</v>
      </c>
      <c r="EG30" s="90">
        <f>EB30+EF30</f>
        <v>40175964.328080177</v>
      </c>
      <c r="EH30" s="310">
        <f>$CO30/$CO$38*'Bázis modell AKM-ei'!EH$38</f>
        <v>2604803.7707119766</v>
      </c>
      <c r="EI30" s="311">
        <f>$CP30/$CP$38*'Bázis modell AKM-ei'!EI$38</f>
        <v>25993831.214603797</v>
      </c>
      <c r="EJ30" s="312">
        <f>$CQ30/$CQ$38*'Bázis modell AKM-ei'!EJ$38</f>
        <v>1485257.7966077433</v>
      </c>
      <c r="EK30" s="90">
        <f t="shared" si="171"/>
        <v>30083892.781923518</v>
      </c>
      <c r="EL30" s="310">
        <f>'Bázis modell AKM-ei'!EL$32*$CS30/$CS$32</f>
        <v>3478233.2249469822</v>
      </c>
      <c r="EM30" s="311">
        <f>'Bázis modell AKM-ei'!EM$32*$CT30/$CT$32</f>
        <v>3875967.9995854474</v>
      </c>
      <c r="EN30" s="312">
        <f>'Bázis modell AKM-ei'!EN$32*$CU30/$CU$32</f>
        <v>4188586.4664938343</v>
      </c>
      <c r="EO30" s="90">
        <f t="shared" si="172"/>
        <v>11542787.691026263</v>
      </c>
      <c r="EP30" s="90">
        <f>EK30+EO30</f>
        <v>41626680.472949781</v>
      </c>
    </row>
    <row r="31" spans="2:146" ht="15" thickBot="1" x14ac:dyDescent="0.4">
      <c r="B31" t="str">
        <f t="shared" si="138"/>
        <v>Termékadók és támogatások egyenlege</v>
      </c>
      <c r="C31" s="255">
        <v>217421.56428362333</v>
      </c>
      <c r="D31" s="256">
        <v>526123.47784134257</v>
      </c>
      <c r="E31" s="257">
        <v>407730.18268445769</v>
      </c>
      <c r="F31" s="90">
        <f t="shared" si="141"/>
        <v>1151275.2248094236</v>
      </c>
      <c r="G31" s="252">
        <v>2822723.574408439</v>
      </c>
      <c r="H31" s="253">
        <v>474473.85160600825</v>
      </c>
      <c r="I31" s="254">
        <v>209347.20767817533</v>
      </c>
      <c r="J31" s="90">
        <f t="shared" si="142"/>
        <v>3506544.6336926227</v>
      </c>
      <c r="K31" s="90">
        <f>F31+J31</f>
        <v>4657819.8585020462</v>
      </c>
      <c r="L31" s="316">
        <f t="shared" si="199"/>
        <v>225114.97721156527</v>
      </c>
      <c r="M31" s="317">
        <f t="shared" si="199"/>
        <v>545369.68115020753</v>
      </c>
      <c r="N31" s="318">
        <f t="shared" si="199"/>
        <v>411850.30313261528</v>
      </c>
      <c r="O31" s="90">
        <f t="shared" si="143"/>
        <v>1182334.9614943881</v>
      </c>
      <c r="P31" s="316">
        <f t="shared" si="200"/>
        <v>2842846.8403458796</v>
      </c>
      <c r="Q31" s="317">
        <f t="shared" si="200"/>
        <v>461780.53894975019</v>
      </c>
      <c r="R31" s="318">
        <f t="shared" si="200"/>
        <v>222761.62131372641</v>
      </c>
      <c r="S31" s="90">
        <f t="shared" si="144"/>
        <v>3527389.0006093564</v>
      </c>
      <c r="T31" s="90">
        <f>O31+S31</f>
        <v>4709723.962103745</v>
      </c>
      <c r="U31" s="316">
        <f>L31/L$38*'Bázis modell AKM-ei'!U$38</f>
        <v>220240.4385520996</v>
      </c>
      <c r="V31" s="317">
        <f>M31/M$38*'Bázis modell AKM-ei'!V$38</f>
        <v>532683.57372879959</v>
      </c>
      <c r="W31" s="318">
        <f>N31/N$38*'Bázis modell AKM-ei'!W$38</f>
        <v>403437.20603359176</v>
      </c>
      <c r="X31" s="90">
        <f t="shared" si="145"/>
        <v>1156361.218314491</v>
      </c>
      <c r="Y31" s="316">
        <f>'Bázis modell AKM-ei'!Y$32*P31/P$32</f>
        <v>2785915.5650045634</v>
      </c>
      <c r="Z31" s="317">
        <f>'Bázis modell AKM-ei'!Z$32*Q31/Q$32</f>
        <v>434031.20634730387</v>
      </c>
      <c r="AA31" s="318">
        <f>'Bázis modell AKM-ei'!AA$32*R31/R$32</f>
        <v>218966.25351645437</v>
      </c>
      <c r="AB31" s="90">
        <f t="shared" si="146"/>
        <v>3438913.0248683216</v>
      </c>
      <c r="AC31" s="90">
        <f>X31+AB31</f>
        <v>4595274.2431828128</v>
      </c>
      <c r="AD31" s="316">
        <f>$AV31/$AV$38*'Bázis modell AKM-ei'!AD$38</f>
        <v>237310.99836234213</v>
      </c>
      <c r="AE31" s="317">
        <f>$AW31/$AW$38*'Bázis modell AKM-ei'!AE$38</f>
        <v>472070.88520233595</v>
      </c>
      <c r="AF31" s="318">
        <f>$AX31/$AX$38*'Bázis modell AKM-ei'!AF$38</f>
        <v>484168.04557246366</v>
      </c>
      <c r="AG31" s="90">
        <f t="shared" si="147"/>
        <v>1193549.9291371417</v>
      </c>
      <c r="AH31" s="316">
        <f>'Bázis modell AKM-ei'!AH$32*$AZ31/$AZ$32</f>
        <v>3042372.7791256136</v>
      </c>
      <c r="AI31" s="317">
        <f>'Bázis modell AKM-ei'!AI$32*$BA31/$BA$32</f>
        <v>481714.67646749108</v>
      </c>
      <c r="AJ31" s="318">
        <f>'Bázis modell AKM-ei'!AJ$32*$BB31/$BB$32</f>
        <v>267161.22067103896</v>
      </c>
      <c r="AK31" s="90">
        <f t="shared" si="148"/>
        <v>3791248.6762641435</v>
      </c>
      <c r="AL31" s="90">
        <f>AG31+AK31</f>
        <v>4984798.605401285</v>
      </c>
      <c r="AM31" s="316">
        <f>$AV31/$AV$38*'Bázis modell AKM-ei'!AM$38</f>
        <v>255485.03259854327</v>
      </c>
      <c r="AN31" s="317">
        <f>$AW31/$AW$38*'Bázis modell AKM-ei'!AN$38</f>
        <v>510903.04062049161</v>
      </c>
      <c r="AO31" s="318">
        <f>$AX31/$AX$38*'Bázis modell AKM-ei'!AO$38</f>
        <v>501989.64229554433</v>
      </c>
      <c r="AP31" s="90">
        <f t="shared" si="149"/>
        <v>1268377.7155145791</v>
      </c>
      <c r="AQ31" s="316">
        <f>'Bázis modell AKM-ei'!AQ$32*$AZ31/$AZ$32</f>
        <v>3138582.1333455406</v>
      </c>
      <c r="AR31" s="317">
        <f>'Bázis modell AKM-ei'!AR$32*$BA31/$BA$32</f>
        <v>543681.84443047666</v>
      </c>
      <c r="AS31" s="318">
        <f>'Bázis modell AKM-ei'!AS$32*$BB31/$BB$32</f>
        <v>291734.13218163705</v>
      </c>
      <c r="AT31" s="90">
        <f t="shared" si="150"/>
        <v>3973998.109957654</v>
      </c>
      <c r="AU31" s="90">
        <f>AP31+AT31</f>
        <v>5242375.8254722329</v>
      </c>
      <c r="AV31" s="255">
        <f>'[5]Tény 2015'!D96/'[5]Tény 2015'!D$106*'Bázis modell AKM-ei'!AV$38</f>
        <v>268868.49011685466</v>
      </c>
      <c r="AW31" s="256">
        <f>'[5]Tény 2015'!E96/'[5]Tény 2015'!E$106*'Bázis modell AKM-ei'!AW$38</f>
        <v>538750.62958721374</v>
      </c>
      <c r="AX31" s="257">
        <f>'[5]Tény 2015'!F96/'[5]Tény 2015'!F$106*'Bázis modell AKM-ei'!AX$38</f>
        <v>519402.67682907492</v>
      </c>
      <c r="AY31" s="90">
        <f t="shared" si="151"/>
        <v>1327021.7965331434</v>
      </c>
      <c r="AZ31" s="252">
        <f>'Bázis modell AKM-ei'!AZ$32*'[5]Tény 2015'!K96/'[5]Tény 2015'!K$97</f>
        <v>3240834.2512937556</v>
      </c>
      <c r="BA31" s="253">
        <f>'Bázis modell AKM-ei'!BA$32*'[5]Tény 2015'!O96/'[5]Tény 2015'!O$97</f>
        <v>542895.55050690915</v>
      </c>
      <c r="BB31" s="254">
        <f>'Bázis modell AKM-ei'!BB$32*'[5]Tény 2015'!S96/'[5]Tény 2015'!S$97</f>
        <v>313221.45298218378</v>
      </c>
      <c r="BC31" s="90">
        <f t="shared" si="152"/>
        <v>4096951.2547828481</v>
      </c>
      <c r="BD31" s="90">
        <f t="shared" ref="BD31:BD32" si="201">AY31+BC31</f>
        <v>5423973.0513159912</v>
      </c>
      <c r="BE31" s="316">
        <f>$AV31/$AV$38*'Bázis modell AKM-ei'!BE$38</f>
        <v>276596.5953762334</v>
      </c>
      <c r="BF31" s="317">
        <f>$AW31/$AW$38*'Bázis modell AKM-ei'!BF$38</f>
        <v>553673.9513903925</v>
      </c>
      <c r="BG31" s="318">
        <f>$AX31/$AX$38*'Bázis modell AKM-ei'!BG$38</f>
        <v>537463.9098446971</v>
      </c>
      <c r="BH31" s="90">
        <f t="shared" si="153"/>
        <v>1367734.4566113232</v>
      </c>
      <c r="BI31" s="316">
        <f>'Bázis modell AKM-ei'!BI$32*$AZ31/$AZ$32</f>
        <v>3357011.8405797901</v>
      </c>
      <c r="BJ31" s="317">
        <f>'Bázis modell AKM-ei'!BJ$32*$BA31/$BA$32</f>
        <v>520471.81258146471</v>
      </c>
      <c r="BK31" s="318">
        <f>'Bázis modell AKM-ei'!BK$32*$BB31/$BB$32</f>
        <v>325136.97088986204</v>
      </c>
      <c r="BL31" s="90">
        <f t="shared" si="154"/>
        <v>4202620.6240511164</v>
      </c>
      <c r="BM31" s="90">
        <f>BH31+BL31</f>
        <v>5570355.0806624396</v>
      </c>
      <c r="BN31" s="316">
        <f>$AV31/$AV$38*'Bázis modell AKM-ei'!BN$38</f>
        <v>293909.8104180072</v>
      </c>
      <c r="BO31" s="317">
        <f>$AW31/$AW$38*'Bázis modell AKM-ei'!BO$38</f>
        <v>589644.4134058397</v>
      </c>
      <c r="BP31" s="318">
        <f>$AX31/$AX$38*'Bázis modell AKM-ei'!BP$38</f>
        <v>561978.24528230506</v>
      </c>
      <c r="BQ31" s="90">
        <f t="shared" si="155"/>
        <v>1445532.469106152</v>
      </c>
      <c r="BR31" s="316">
        <f>'Bázis modell AKM-ei'!BR$32*$AZ31/$AZ$32</f>
        <v>3502035.9247657987</v>
      </c>
      <c r="BS31" s="317">
        <f>'Bázis modell AKM-ei'!BS$32*$BA31/$BA$32</f>
        <v>576754.66257164069</v>
      </c>
      <c r="BT31" s="318">
        <f>'Bázis modell AKM-ei'!BT$32*$BB31/$BB$32</f>
        <v>346191.03639340331</v>
      </c>
      <c r="BU31" s="90">
        <f t="shared" si="156"/>
        <v>4424981.623730843</v>
      </c>
      <c r="BV31" s="90">
        <f>BQ31+BU31</f>
        <v>5870514.0928369947</v>
      </c>
      <c r="BW31" s="316">
        <f>$CO31/$CO$38*'Bázis modell AKM-ei'!BW$38</f>
        <v>287967.13332591829</v>
      </c>
      <c r="BX31" s="317">
        <f>$CP31/$CP$38*'Bázis modell AKM-ei'!BX$38</f>
        <v>634976.00183637266</v>
      </c>
      <c r="BY31" s="318">
        <f>$CQ31/$CQ$38*'Bázis modell AKM-ei'!BY$38</f>
        <v>579474.83434897347</v>
      </c>
      <c r="BZ31" s="90">
        <f t="shared" si="157"/>
        <v>1502417.9695112645</v>
      </c>
      <c r="CA31" s="316">
        <f>'Bázis modell AKM-ei'!CA$32*$CS31/$CS$32</f>
        <v>3464746.0116605265</v>
      </c>
      <c r="CB31" s="317">
        <f>'Bázis modell AKM-ei'!CB$32*$CT31/$CT$32</f>
        <v>643784.18823789724</v>
      </c>
      <c r="CC31" s="318">
        <f>'Bázis modell AKM-ei'!CC$32*$CU31/$CU$32</f>
        <v>370598.76154496806</v>
      </c>
      <c r="CD31" s="90">
        <f t="shared" si="158"/>
        <v>4479128.9614433916</v>
      </c>
      <c r="CE31" s="90">
        <f>BZ31+CD31</f>
        <v>5981546.9309546556</v>
      </c>
      <c r="CF31" s="316">
        <f>$CO31/$CO$38*'Bázis modell AKM-ei'!CF$38</f>
        <v>304738.78445212747</v>
      </c>
      <c r="CG31" s="317">
        <f>$CP31/$CP$38*'Bázis modell AKM-ei'!CG$38</f>
        <v>673610.0620060137</v>
      </c>
      <c r="CH31" s="318">
        <f>$CQ31/$CQ$38*'Bázis modell AKM-ei'!CH$38</f>
        <v>605329.12298800284</v>
      </c>
      <c r="CI31" s="90">
        <f t="shared" si="159"/>
        <v>1583677.9694461441</v>
      </c>
      <c r="CJ31" s="316">
        <f>'Bázis modell AKM-ei'!CJ$32*$CS31/$CS$32</f>
        <v>3611866.4384896355</v>
      </c>
      <c r="CK31" s="317">
        <f>'Bázis modell AKM-ei'!CK$32*$CT31/$CT$32</f>
        <v>710763.47518450359</v>
      </c>
      <c r="CL31" s="318">
        <f>'Bázis modell AKM-ei'!CL$32*$CU31/$CU$32</f>
        <v>392040.56818091532</v>
      </c>
      <c r="CM31" s="90">
        <f t="shared" si="160"/>
        <v>4714670.4818550544</v>
      </c>
      <c r="CN31" s="90">
        <f>CI31+CM31</f>
        <v>6298348.4513011985</v>
      </c>
      <c r="CO31" s="255">
        <f>'[6]ÁKM agg 3x3'!C9/'[6]ÁKM agg 3x3'!C$16*'Bázis modell AKM-ei'!CO$38</f>
        <v>305276.7766823555</v>
      </c>
      <c r="CP31" s="256">
        <f>'[6]ÁKM agg 3x3'!D9/'[6]ÁKM agg 3x3'!D$16*'Bázis modell AKM-ei'!CP$38</f>
        <v>674782.05634439923</v>
      </c>
      <c r="CQ31" s="257">
        <f>'[6]ÁKM agg 3x3'!E9/'[6]ÁKM agg 3x3'!E$16*'Bázis modell AKM-ei'!CQ$38</f>
        <v>599267.65726854082</v>
      </c>
      <c r="CR31" s="90">
        <f t="shared" si="161"/>
        <v>1579326.4902952956</v>
      </c>
      <c r="CS31" s="252">
        <f>'[6]ÁKM agg 3x3'!G9/'[6]ÁKM agg 3x3'!G$10*'Bázis modell AKM-ei'!CS$32</f>
        <v>3570990.3481343952</v>
      </c>
      <c r="CT31" s="253">
        <f>'[6]ÁKM agg 3x3'!H9/'[6]ÁKM agg 3x3'!H$10*'Bázis modell AKM-ei'!CT$32</f>
        <v>664670.99041454343</v>
      </c>
      <c r="CU31" s="254">
        <f>'[6]ÁKM agg 3x3'!I9/'[6]ÁKM agg 3x3'!I$10*'Bázis modell AKM-ei'!CU$32</f>
        <v>400167.46159423562</v>
      </c>
      <c r="CV31" s="90">
        <f t="shared" si="162"/>
        <v>4635828.8001431748</v>
      </c>
      <c r="CW31" s="90">
        <f t="shared" ref="CW31:CW32" si="202">CR31+CV31</f>
        <v>6215155.2904384704</v>
      </c>
      <c r="CX31" s="316">
        <f>$CO31/$CO$38*'Bázis modell AKM-ei'!CX$38</f>
        <v>323577.37258759368</v>
      </c>
      <c r="CY31" s="317">
        <f>$CP31/$CP$38*'Bázis modell AKM-ei'!CY$38</f>
        <v>716480.74864970287</v>
      </c>
      <c r="CZ31" s="318">
        <f>$CQ31/$CQ$38*'Bázis modell AKM-ei'!CZ$38</f>
        <v>631716.31382755027</v>
      </c>
      <c r="DA31" s="90">
        <f t="shared" si="163"/>
        <v>1671774.4350648469</v>
      </c>
      <c r="DB31" s="316">
        <f>'Bázis modell AKM-ei'!DB$32*$CS31/$CS$32</f>
        <v>3760261.952895144</v>
      </c>
      <c r="DC31" s="317">
        <f>'Bázis modell AKM-ei'!DC$32*$CT31/$CT$32</f>
        <v>742976.25437985861</v>
      </c>
      <c r="DD31" s="318">
        <f>'Bázis modell AKM-ei'!DD$32*$CU31/$CU$32</f>
        <v>421488.74289610673</v>
      </c>
      <c r="DE31" s="90">
        <f t="shared" si="164"/>
        <v>4924726.9501711093</v>
      </c>
      <c r="DF31" s="90">
        <f>DA31+DE31</f>
        <v>6596501.3852359559</v>
      </c>
      <c r="DG31" s="316">
        <f>$CO31/$CO$38*'Bázis modell AKM-ei'!DG$38</f>
        <v>336270.21091497585</v>
      </c>
      <c r="DH31" s="317">
        <f>$CP31/$CP$38*'Bázis modell AKM-ei'!DH$38</f>
        <v>745548.33399660862</v>
      </c>
      <c r="DI31" s="318">
        <f>$CQ31/$CQ$38*'Bázis modell AKM-ei'!DI$38</f>
        <v>651099.67630350159</v>
      </c>
      <c r="DJ31" s="90">
        <f t="shared" si="165"/>
        <v>1732918.2212150861</v>
      </c>
      <c r="DK31" s="316">
        <f>'Bázis modell AKM-ei'!DK$32*$CS31/$CS$32</f>
        <v>3870628.1890237462</v>
      </c>
      <c r="DL31" s="317">
        <f>'Bázis modell AKM-ei'!DL$32*$CT31/$CT$32</f>
        <v>784099.67132765218</v>
      </c>
      <c r="DM31" s="318">
        <f>'Bázis modell AKM-ei'!DM$32*$CU31/$CU$32</f>
        <v>438760.7672216756</v>
      </c>
      <c r="DN31" s="90">
        <f t="shared" si="166"/>
        <v>5093488.6275730738</v>
      </c>
      <c r="DO31" s="90">
        <f>DJ31+DN31</f>
        <v>6826406.8487881599</v>
      </c>
      <c r="DP31" s="316">
        <f>$CO31/$CO$38*'Bázis modell AKM-ei'!DP$38</f>
        <v>348963.04924235807</v>
      </c>
      <c r="DQ31" s="317">
        <f>$CP31/$CP$38*'Bázis modell AKM-ei'!DQ$38</f>
        <v>774615.91934351483</v>
      </c>
      <c r="DR31" s="318">
        <f>$CQ31/$CQ$38*'Bázis modell AKM-ei'!DR$38</f>
        <v>670483.03877945291</v>
      </c>
      <c r="DS31" s="90">
        <f t="shared" si="167"/>
        <v>1794062.0073653259</v>
      </c>
      <c r="DT31" s="316">
        <f>'Bázis modell AKM-ei'!DT$32*$CS31/$CS$32</f>
        <v>3980994.4251523488</v>
      </c>
      <c r="DU31" s="317">
        <f>'Bázis modell AKM-ei'!DU$32*$CT31/$CT$32</f>
        <v>825223.08827544574</v>
      </c>
      <c r="DV31" s="318">
        <f>'Bázis modell AKM-ei'!DV$32*$CU31/$CU$32</f>
        <v>456032.79154724447</v>
      </c>
      <c r="DW31" s="90">
        <f t="shared" si="168"/>
        <v>5262250.3049750393</v>
      </c>
      <c r="DX31" s="90">
        <f>DS31+DW31</f>
        <v>7056312.3123403657</v>
      </c>
      <c r="DY31" s="316">
        <f>$CO31/$CO$38*'Bázis modell AKM-ei'!DY$38</f>
        <v>361655.88756974111</v>
      </c>
      <c r="DZ31" s="317">
        <f>$CP31/$CP$38*'Bázis modell AKM-ei'!DZ$38</f>
        <v>803683.50469042279</v>
      </c>
      <c r="EA31" s="318">
        <f>$CQ31/$CQ$38*'Bázis modell AKM-ei'!EA$38</f>
        <v>689866.40125540446</v>
      </c>
      <c r="EB31" s="90">
        <f t="shared" si="169"/>
        <v>1855205.7935155686</v>
      </c>
      <c r="EC31" s="316">
        <f>'Bázis modell AKM-ei'!EC$32*$CS31/$CS$32</f>
        <v>4091360.6612809519</v>
      </c>
      <c r="ED31" s="317">
        <f>'Bázis modell AKM-ei'!ED$32*$CT31/$CT$32</f>
        <v>866346.50522325467</v>
      </c>
      <c r="EE31" s="318">
        <f>'Bázis modell AKM-ei'!EE$32*$CU31/$CU$32</f>
        <v>473304.81587281334</v>
      </c>
      <c r="EF31" s="90">
        <f t="shared" si="170"/>
        <v>5431011.9823770197</v>
      </c>
      <c r="EG31" s="90">
        <f>EB31+EF31</f>
        <v>7286217.7758925883</v>
      </c>
      <c r="EH31" s="316">
        <f>$CO31/$CO$38*'Bázis modell AKM-ei'!EH$38</f>
        <v>374348.7258971241</v>
      </c>
      <c r="EI31" s="317">
        <f>$CP31/$CP$38*'Bázis modell AKM-ei'!EI$38</f>
        <v>832751.09003732982</v>
      </c>
      <c r="EJ31" s="318">
        <f>$CQ31/$CQ$38*'Bázis modell AKM-ei'!EJ$38</f>
        <v>709249.76373136032</v>
      </c>
      <c r="EK31" s="90">
        <f t="shared" si="171"/>
        <v>1916349.5796658141</v>
      </c>
      <c r="EL31" s="316">
        <f>'Bázis modell AKM-ei'!EL$32*$CS31/$CS$32</f>
        <v>4201726.8974095844</v>
      </c>
      <c r="EM31" s="317">
        <f>'Bázis modell AKM-ei'!EM$32*$CT31/$CT$32</f>
        <v>907469.92217104812</v>
      </c>
      <c r="EN31" s="318">
        <f>'Bázis modell AKM-ei'!EN$32*$CU31/$CU$32</f>
        <v>490576.84019838227</v>
      </c>
      <c r="EO31" s="90">
        <f t="shared" si="172"/>
        <v>5599773.6597790141</v>
      </c>
      <c r="EP31" s="90">
        <f>EK31+EO31</f>
        <v>7516123.2394448277</v>
      </c>
    </row>
    <row r="32" spans="2:146" ht="15" thickBot="1" x14ac:dyDescent="0.4">
      <c r="B32" t="str">
        <f t="shared" si="138"/>
        <v>Folyó termelőfelhasználás / Végső felhasználás piaci beszerzési áron</v>
      </c>
      <c r="C32" s="90">
        <f>SUM(C29:C31)</f>
        <v>4970434.0520789614</v>
      </c>
      <c r="D32" s="90">
        <f t="shared" ref="D32:E32" si="203">SUM(D29:D31)</f>
        <v>26967879.332721289</v>
      </c>
      <c r="E32" s="90">
        <f t="shared" si="203"/>
        <v>4325913.2325080186</v>
      </c>
      <c r="F32" s="90">
        <f t="shared" si="141"/>
        <v>36264226.617308274</v>
      </c>
      <c r="G32" s="280">
        <f>Peremszámok!$AG$20</f>
        <v>22709959.613054339</v>
      </c>
      <c r="H32" s="281">
        <f>Peremszámok!$AM$20</f>
        <v>7411555.3043490369</v>
      </c>
      <c r="I32" s="282">
        <f>Peremszámok!$AS$20</f>
        <v>23973099.146427713</v>
      </c>
      <c r="J32" s="90">
        <f t="shared" si="142"/>
        <v>54094614.063831091</v>
      </c>
      <c r="K32" s="90">
        <f>F32+J32</f>
        <v>90358840.681139365</v>
      </c>
      <c r="L32" s="221">
        <f>SUM(L29:L31)</f>
        <v>5146311.7379917717</v>
      </c>
      <c r="M32" s="90">
        <f t="shared" ref="M32" si="204">SUM(M29:M31)</f>
        <v>27954395.445965353</v>
      </c>
      <c r="N32" s="90">
        <f t="shared" ref="N32" si="205">SUM(N29:N31)</f>
        <v>4369626.6594828507</v>
      </c>
      <c r="O32" s="90">
        <f t="shared" si="143"/>
        <v>37470333.843439974</v>
      </c>
      <c r="P32" s="307">
        <f>Peremszámok!$AG$21</f>
        <v>22871859.474898871</v>
      </c>
      <c r="Q32" s="308">
        <f>Peremszámok!$AM$21</f>
        <v>7213278.437396694</v>
      </c>
      <c r="R32" s="309">
        <f>Peremszámok!$AS$21</f>
        <v>25509231.735168155</v>
      </c>
      <c r="S32" s="90">
        <f t="shared" si="144"/>
        <v>55594369.647463724</v>
      </c>
      <c r="T32" s="90">
        <f>O32+S32</f>
        <v>93064703.490903705</v>
      </c>
      <c r="U32" s="221">
        <f>SUM(U29:U31)</f>
        <v>5034875.8138643121</v>
      </c>
      <c r="V32" s="90">
        <f t="shared" ref="V32" si="206">SUM(V29:V31)</f>
        <v>27304134.758975752</v>
      </c>
      <c r="W32" s="90">
        <f t="shared" ref="W32" si="207">SUM(W29:W31)</f>
        <v>4280365.8453154424</v>
      </c>
      <c r="X32" s="90">
        <f t="shared" si="145"/>
        <v>36619376.418155506</v>
      </c>
      <c r="Y32" s="307">
        <f>Peremszámok!$AG$22</f>
        <v>22413824.201646186</v>
      </c>
      <c r="Z32" s="308">
        <f>Peremszámok!$AM$22</f>
        <v>6779817.852486345</v>
      </c>
      <c r="AA32" s="309">
        <f>Peremszámok!$AS$22</f>
        <v>25074610.56438553</v>
      </c>
      <c r="AB32" s="90">
        <f t="shared" si="146"/>
        <v>54268252.618518062</v>
      </c>
      <c r="AC32" s="90">
        <f>X32+AB32</f>
        <v>90887629.036673576</v>
      </c>
      <c r="AD32" s="221">
        <f>SUM(AD29:AD31)</f>
        <v>4766973.2884612046</v>
      </c>
      <c r="AE32" s="90">
        <f t="shared" ref="AE32" si="208">SUM(AE29:AE31)</f>
        <v>26258484.080496427</v>
      </c>
      <c r="AF32" s="90">
        <f t="shared" ref="AF32" si="209">SUM(AF29:AF31)</f>
        <v>4490805.7326112185</v>
      </c>
      <c r="AG32" s="90">
        <f t="shared" si="147"/>
        <v>35516263.101568848</v>
      </c>
      <c r="AH32" s="307">
        <f>Peremszámok!$AG$23</f>
        <v>22577713.144693118</v>
      </c>
      <c r="AI32" s="308">
        <f>Peremszámok!$AM$23</f>
        <v>7194569.2539494075</v>
      </c>
      <c r="AJ32" s="309">
        <f>Peremszámok!$AS$23</f>
        <v>26103420.308345269</v>
      </c>
      <c r="AK32" s="90">
        <f t="shared" si="148"/>
        <v>55875702.706987798</v>
      </c>
      <c r="AL32" s="90">
        <f>AG32+AK32</f>
        <v>91391965.808556646</v>
      </c>
      <c r="AM32" s="221">
        <f>SUM(AM29:AM31)</f>
        <v>5132043.3288108306</v>
      </c>
      <c r="AN32" s="90">
        <f t="shared" ref="AN32" si="210">SUM(AN29:AN31)</f>
        <v>28418484.976171143</v>
      </c>
      <c r="AO32" s="90">
        <f t="shared" ref="AO32" si="211">SUM(AO29:AO31)</f>
        <v>4656106.4571430637</v>
      </c>
      <c r="AP32" s="90">
        <f t="shared" ref="AP32:AP38" si="212">SUM(AM32:AO32)</f>
        <v>38206634.762125038</v>
      </c>
      <c r="AQ32" s="307">
        <f>Peremszámok!$AG$24</f>
        <v>23291691.134608597</v>
      </c>
      <c r="AR32" s="308">
        <f>Peremszámok!$AM$24</f>
        <v>8120069.5618290696</v>
      </c>
      <c r="AS32" s="309">
        <f>Peremszámok!$AS$24</f>
        <v>28504356.476213474</v>
      </c>
      <c r="AT32" s="90">
        <f t="shared" ref="AT32" si="213">SUM(AQ32:AS32)</f>
        <v>59916117.172651142</v>
      </c>
      <c r="AU32" s="90">
        <f>AP32+AT32</f>
        <v>98122751.934776187</v>
      </c>
      <c r="AV32" s="90">
        <f>SUM(AV29:AV31)</f>
        <v>5400882.8892918583</v>
      </c>
      <c r="AW32" s="90">
        <f t="shared" ref="AW32" si="214">SUM(AW29:AW31)</f>
        <v>29967480.04128613</v>
      </c>
      <c r="AX32" s="90">
        <f t="shared" ref="AX32" si="215">SUM(AX29:AX31)</f>
        <v>4817617.6432290375</v>
      </c>
      <c r="AY32" s="90">
        <f t="shared" si="151"/>
        <v>40185980.573807023</v>
      </c>
      <c r="AZ32" s="280">
        <f>Peremszámok!$AG$25</f>
        <v>24050513</v>
      </c>
      <c r="BA32" s="281">
        <f>Peremszámok!$AM$25</f>
        <v>8108326</v>
      </c>
      <c r="BB32" s="282">
        <f>Peremszámok!$AS$25</f>
        <v>30603810</v>
      </c>
      <c r="BC32" s="90">
        <f t="shared" si="152"/>
        <v>62762649</v>
      </c>
      <c r="BD32" s="90">
        <f t="shared" si="201"/>
        <v>102948629.57380703</v>
      </c>
      <c r="BE32" s="221">
        <f>SUM(BE29:BE31)</f>
        <v>5556120.8327335929</v>
      </c>
      <c r="BF32" s="90">
        <f t="shared" ref="BF32" si="216">SUM(BF29:BF31)</f>
        <v>30797575.309349388</v>
      </c>
      <c r="BG32" s="90">
        <f t="shared" ref="BG32" si="217">SUM(BG29:BG31)</f>
        <v>4985141.0671854494</v>
      </c>
      <c r="BH32" s="90">
        <f t="shared" si="153"/>
        <v>41338837.209268428</v>
      </c>
      <c r="BI32" s="307">
        <f>Peremszámok!$AG$26</f>
        <v>24912677</v>
      </c>
      <c r="BJ32" s="308">
        <f>Peremszámok!$AM$26</f>
        <v>7773420</v>
      </c>
      <c r="BK32" s="309">
        <f>Peremszámok!$AS$26</f>
        <v>31768035</v>
      </c>
      <c r="BL32" s="90">
        <f t="shared" si="154"/>
        <v>64454132</v>
      </c>
      <c r="BM32" s="90">
        <f>BH32+BL32</f>
        <v>105792969.20926842</v>
      </c>
      <c r="BN32" s="221">
        <f>SUM(BN29:BN31)</f>
        <v>5903899.2088352581</v>
      </c>
      <c r="BO32" s="90">
        <f t="shared" ref="BO32" si="218">SUM(BO29:BO31)</f>
        <v>32798397.291403804</v>
      </c>
      <c r="BP32" s="90">
        <f t="shared" ref="BP32" si="219">SUM(BP29:BP31)</f>
        <v>5212518.9768205192</v>
      </c>
      <c r="BQ32" s="90">
        <f t="shared" si="155"/>
        <v>43914815.47705958</v>
      </c>
      <c r="BR32" s="307">
        <f>Peremszámok!$AG$27</f>
        <v>25988913.348908097</v>
      </c>
      <c r="BS32" s="308">
        <f>Peremszámok!$AM$27</f>
        <v>8614023.1243087817</v>
      </c>
      <c r="BT32" s="309">
        <f>Peremszámok!$AS$27</f>
        <v>33825156.612403035</v>
      </c>
      <c r="BU32" s="90">
        <f t="shared" si="156"/>
        <v>68428093.085619912</v>
      </c>
      <c r="BV32" s="90">
        <f>BQ32+BU32</f>
        <v>112342908.5626795</v>
      </c>
      <c r="BW32" s="221">
        <f>SUM(BW29:BW31)</f>
        <v>5984081.4117080811</v>
      </c>
      <c r="BX32" s="90">
        <f t="shared" ref="BX32" si="220">SUM(BX29:BX31)</f>
        <v>34600728.450217307</v>
      </c>
      <c r="BY32" s="90">
        <f t="shared" ref="BY32" si="221">SUM(BY29:BY31)</f>
        <v>5440651.6360425232</v>
      </c>
      <c r="BZ32" s="90">
        <f t="shared" si="157"/>
        <v>46025461.497967906</v>
      </c>
      <c r="CA32" s="307">
        <f>Peremszámok!$AG$28</f>
        <v>27061533.879669093</v>
      </c>
      <c r="CB32" s="308">
        <f>Peremszámok!$AM$28</f>
        <v>10012391.804261951</v>
      </c>
      <c r="CC32" s="309">
        <f>Peremszámok!$AS$28</f>
        <v>35529222.909276947</v>
      </c>
      <c r="CD32" s="90">
        <f t="shared" si="158"/>
        <v>72603148.593207985</v>
      </c>
      <c r="CE32" s="90">
        <f>BZ32+CD32</f>
        <v>118628610.09117588</v>
      </c>
      <c r="CF32" s="221">
        <f>SUM(CF29:CF31)</f>
        <v>6332603.5662638638</v>
      </c>
      <c r="CG32" s="90">
        <f t="shared" ref="CG32" si="222">SUM(CG29:CG31)</f>
        <v>36705952.302761532</v>
      </c>
      <c r="CH32" s="90">
        <f t="shared" ref="CH32" si="223">SUM(CH29:CH31)</f>
        <v>5683395.8752132952</v>
      </c>
      <c r="CI32" s="90">
        <f t="shared" si="159"/>
        <v>48721951.74423869</v>
      </c>
      <c r="CJ32" s="307">
        <f>Peremszámok!$AG$29</f>
        <v>28210623.712409597</v>
      </c>
      <c r="CK32" s="308">
        <f>Peremszámok!$AM$29</f>
        <v>11054080.736565605</v>
      </c>
      <c r="CL32" s="309">
        <f>Peremszámok!$AS$29</f>
        <v>37584844.262058362</v>
      </c>
      <c r="CM32" s="90">
        <f t="shared" si="160"/>
        <v>76849548.711033568</v>
      </c>
      <c r="CN32" s="90">
        <f>CI32+CM32</f>
        <v>125571500.45527226</v>
      </c>
      <c r="CO32" s="90">
        <f>SUM(CO29:CO31)</f>
        <v>6343783.2771821478</v>
      </c>
      <c r="CP32" s="90">
        <f t="shared" ref="CP32" si="224">SUM(CP29:CP31)</f>
        <v>36769815.909780368</v>
      </c>
      <c r="CQ32" s="90">
        <f t="shared" ref="CQ32" si="225">SUM(CQ29:CQ31)</f>
        <v>5626485.1667086594</v>
      </c>
      <c r="CR32" s="90">
        <f t="shared" si="161"/>
        <v>48740084.353671178</v>
      </c>
      <c r="CS32" s="280">
        <f>Peremszámok!AG30</f>
        <v>27891359.414162636</v>
      </c>
      <c r="CT32" s="281">
        <f>Peremszámok!AM30</f>
        <v>10337231.790629268</v>
      </c>
      <c r="CU32" s="282">
        <f>Peremszámok!AS30</f>
        <v>38363967.771370888</v>
      </c>
      <c r="CV32" s="90">
        <f t="shared" si="162"/>
        <v>76592558.976162791</v>
      </c>
      <c r="CW32" s="90">
        <f t="shared" si="202"/>
        <v>125332643.32983397</v>
      </c>
      <c r="CX32" s="221">
        <f>SUM(CX29:CX31)</f>
        <v>6724077.5646408908</v>
      </c>
      <c r="CY32" s="90">
        <f t="shared" ref="CY32:CZ32" si="226">SUM(CY29:CY31)</f>
        <v>39042035.844096527</v>
      </c>
      <c r="CZ32" s="90">
        <f t="shared" si="226"/>
        <v>5931143.4985816861</v>
      </c>
      <c r="DA32" s="90">
        <f t="shared" si="163"/>
        <v>51697256.907319106</v>
      </c>
      <c r="DB32" s="307">
        <f>Peremszámok!$AG$31</f>
        <v>29369672.666405201</v>
      </c>
      <c r="DC32" s="308">
        <f>Peremszámok!$AM$31</f>
        <v>11555066.893573999</v>
      </c>
      <c r="DD32" s="309">
        <f>Peremszámok!$AS$31</f>
        <v>40408034.386508942</v>
      </c>
      <c r="DE32" s="90">
        <f t="shared" si="164"/>
        <v>81332773.946488142</v>
      </c>
      <c r="DF32" s="90">
        <f>DA32+DE32</f>
        <v>133030030.85380724</v>
      </c>
      <c r="DG32" s="221">
        <f>SUM(DG29:DG31)</f>
        <v>6987840.2274817871</v>
      </c>
      <c r="DH32" s="90">
        <f t="shared" ref="DH32:DI32" si="227">SUM(DH29:DH31)</f>
        <v>40625969.133517094</v>
      </c>
      <c r="DI32" s="90">
        <f t="shared" si="227"/>
        <v>6113132.6316995537</v>
      </c>
      <c r="DJ32" s="90">
        <f t="shared" si="165"/>
        <v>53726941.992698438</v>
      </c>
      <c r="DK32" s="307">
        <f>Peremszámok!$AG$32</f>
        <v>30231692.458942413</v>
      </c>
      <c r="DL32" s="308">
        <f>Peremszámok!$AM$32</f>
        <v>12194634.889082432</v>
      </c>
      <c r="DM32" s="309">
        <f>Peremszámok!$AS$32</f>
        <v>42063899.613363266</v>
      </c>
      <c r="DN32" s="90">
        <f t="shared" si="166"/>
        <v>84490226.961388111</v>
      </c>
      <c r="DO32" s="90">
        <f>DJ32+DN32</f>
        <v>138217168.95408654</v>
      </c>
      <c r="DP32" s="221">
        <f>SUM(DP29:DP31)</f>
        <v>7251602.8903226843</v>
      </c>
      <c r="DQ32" s="90">
        <f t="shared" ref="DQ32:DR32" si="228">SUM(DQ29:DQ31)</f>
        <v>42209902.422937676</v>
      </c>
      <c r="DR32" s="90">
        <f t="shared" si="228"/>
        <v>6295121.7648174204</v>
      </c>
      <c r="DS32" s="90">
        <f t="shared" si="167"/>
        <v>55756627.078077778</v>
      </c>
      <c r="DT32" s="307">
        <f>Peremszámok!$AG$33</f>
        <v>31093712.251479626</v>
      </c>
      <c r="DU32" s="308">
        <f>Peremszámok!$AM$33</f>
        <v>12834202.884590864</v>
      </c>
      <c r="DV32" s="309">
        <f>Peremszámok!$AS$33</f>
        <v>43719764.84021759</v>
      </c>
      <c r="DW32" s="90">
        <f t="shared" si="168"/>
        <v>87647679.97628808</v>
      </c>
      <c r="DX32" s="90">
        <f>DS32+DW32</f>
        <v>143404307.05436587</v>
      </c>
      <c r="DY32" s="221">
        <f>SUM(DY29:DY31)</f>
        <v>7515365.5531635983</v>
      </c>
      <c r="DZ32" s="90">
        <f t="shared" ref="DZ32:EA32" si="229">SUM(DZ29:DZ31)</f>
        <v>43793835.712358356</v>
      </c>
      <c r="EA32" s="90">
        <f t="shared" si="229"/>
        <v>6477110.8979352918</v>
      </c>
      <c r="EB32" s="90">
        <f t="shared" si="169"/>
        <v>57786312.163457245</v>
      </c>
      <c r="EC32" s="307">
        <f>Peremszámok!$AG$34</f>
        <v>31955732.044016838</v>
      </c>
      <c r="ED32" s="308">
        <f>Peremszámok!$AM$34</f>
        <v>13473770.880099535</v>
      </c>
      <c r="EE32" s="309">
        <f>Peremszámok!$AS$34</f>
        <v>45375630.067071915</v>
      </c>
      <c r="EF32" s="90">
        <f t="shared" si="170"/>
        <v>90805132.991188288</v>
      </c>
      <c r="EG32" s="90">
        <f>EB32+EF32</f>
        <v>148591445.15464553</v>
      </c>
      <c r="EH32" s="221">
        <f>SUM(EH29:EH31)</f>
        <v>7779128.2160045113</v>
      </c>
      <c r="EI32" s="90">
        <f t="shared" ref="EI32:EJ32" si="230">SUM(EI29:EI31)</f>
        <v>45377769.00177899</v>
      </c>
      <c r="EJ32" s="90">
        <f t="shared" si="230"/>
        <v>6659100.0310532022</v>
      </c>
      <c r="EK32" s="90">
        <f t="shared" si="171"/>
        <v>59815997.248836704</v>
      </c>
      <c r="EL32" s="307">
        <f>Peremszámok!$AG$35</f>
        <v>32817751.836554289</v>
      </c>
      <c r="EM32" s="308">
        <f>Peremszámok!$AM$35</f>
        <v>14113338.875607967</v>
      </c>
      <c r="EN32" s="309">
        <f>Peremszámok!$AS$35</f>
        <v>47031495.293926239</v>
      </c>
      <c r="EO32" s="90">
        <f t="shared" si="172"/>
        <v>93962586.006088495</v>
      </c>
      <c r="EP32" s="90">
        <f>EK32+EO32</f>
        <v>153778583.25492519</v>
      </c>
    </row>
    <row r="33" spans="2:146" ht="15" thickBot="1" x14ac:dyDescent="0.4">
      <c r="B33" t="str">
        <f t="shared" si="138"/>
        <v>Munkavállalói jövedelem</v>
      </c>
      <c r="C33" s="255">
        <v>2628916.5102221277</v>
      </c>
      <c r="D33" s="256">
        <v>6054974.425102178</v>
      </c>
      <c r="E33" s="257">
        <v>4705280.6885955874</v>
      </c>
      <c r="F33" s="90">
        <f t="shared" si="141"/>
        <v>13389171.623919893</v>
      </c>
      <c r="L33" s="310">
        <f t="shared" ref="L33:N36" si="231">C33/C$38*L$38</f>
        <v>2721940.1269588708</v>
      </c>
      <c r="M33" s="311">
        <f t="shared" si="231"/>
        <v>6276472.3694509696</v>
      </c>
      <c r="N33" s="312">
        <f t="shared" si="231"/>
        <v>4752827.6301827068</v>
      </c>
      <c r="O33" s="90">
        <f t="shared" si="143"/>
        <v>13751240.126592547</v>
      </c>
      <c r="U33" s="310">
        <f>L33/L$38*'Bázis modell AKM-ei'!U$38</f>
        <v>2663000.4573644204</v>
      </c>
      <c r="V33" s="311">
        <f>M33/M$38*'Bázis modell AKM-ei'!V$38</f>
        <v>6130472.3158021793</v>
      </c>
      <c r="W33" s="312">
        <f>N33/N$38*'Bázis modell AKM-ei'!W$38</f>
        <v>4655738.9548958177</v>
      </c>
      <c r="X33" s="90">
        <f t="shared" si="145"/>
        <v>13449211.728062417</v>
      </c>
      <c r="Y33" s="183"/>
      <c r="Z33" s="183"/>
      <c r="AA33" s="183"/>
      <c r="AB33" s="183"/>
      <c r="AC33" s="183"/>
      <c r="AD33" s="310">
        <f>$AV33/$AV$38*'Bázis modell AKM-ei'!AD$38</f>
        <v>2428235.965179604</v>
      </c>
      <c r="AE33" s="311">
        <f>$AW33/$AW$38*'Bázis modell AKM-ei'!AE$38</f>
        <v>5859493.0856573544</v>
      </c>
      <c r="AF33" s="312">
        <f>$AX33/$AX$38*'Bázis modell AKM-ei'!AF$38</f>
        <v>4805584.2943243319</v>
      </c>
      <c r="AG33" s="90">
        <f t="shared" si="147"/>
        <v>13093313.345161289</v>
      </c>
      <c r="AH33" s="183"/>
      <c r="AI33" s="183"/>
      <c r="AJ33" s="183"/>
      <c r="AK33" s="183"/>
      <c r="AL33" s="183"/>
      <c r="AM33" s="310">
        <f>$AV33/$AV$38*'Bázis modell AKM-ei'!AM$38</f>
        <v>2614198.0312839616</v>
      </c>
      <c r="AN33" s="311">
        <f>$AW33/$AW$38*'Bázis modell AKM-ei'!AN$38</f>
        <v>6341490.0765887676</v>
      </c>
      <c r="AO33" s="312">
        <f>$AX33/$AX$38*'Bázis modell AKM-ei'!AO$38</f>
        <v>4982471.6087503731</v>
      </c>
      <c r="AP33" s="90">
        <f t="shared" si="212"/>
        <v>13938159.716623101</v>
      </c>
      <c r="AQ33" s="183"/>
      <c r="AR33" s="183"/>
      <c r="AS33" s="183"/>
      <c r="AT33" s="183"/>
      <c r="AU33" s="183"/>
      <c r="AV33" s="255">
        <f>'[5]Tény 2015'!D98/'[5]Tény 2015'!D$106*'Bázis modell AKM-ei'!AV$38</f>
        <v>2751141.506759956</v>
      </c>
      <c r="AW33" s="256">
        <f>'[5]Tény 2015'!E98/'[5]Tény 2015'!E$106*'Bázis modell AKM-ei'!AW$38</f>
        <v>6687143.1556444662</v>
      </c>
      <c r="AX33" s="257">
        <f>'[5]Tény 2015'!F98/'[5]Tény 2015'!F$106*'Bázis modell AKM-ei'!AX$38</f>
        <v>5155303.7608018816</v>
      </c>
      <c r="AY33" s="90">
        <f t="shared" si="151"/>
        <v>14593588.423206303</v>
      </c>
      <c r="AZ33" s="183"/>
      <c r="BA33" s="183"/>
      <c r="BB33" s="183"/>
      <c r="BC33" s="183"/>
      <c r="BD33" s="183"/>
      <c r="BE33" s="310">
        <f>$AV33/$AV$38*'Bázis modell AKM-ei'!BE$38</f>
        <v>2830217.7538071508</v>
      </c>
      <c r="BF33" s="311">
        <f>$AW33/$AW$38*'Bázis modell AKM-ei'!BF$38</f>
        <v>6872376.1442946475</v>
      </c>
      <c r="BG33" s="312">
        <f>$AX33/$AX$38*'Bázis modell AKM-ei'!BG$38</f>
        <v>5334569.5725581767</v>
      </c>
      <c r="BH33" s="90">
        <f t="shared" si="153"/>
        <v>15037163.470659975</v>
      </c>
      <c r="BI33" s="183"/>
      <c r="BJ33" s="183"/>
      <c r="BK33" s="183"/>
      <c r="BL33" s="183"/>
      <c r="BM33" s="183"/>
      <c r="BN33" s="310">
        <f>$AV33/$AV$38*'Bázis modell AKM-ei'!BN$38</f>
        <v>3007371.6646138187</v>
      </c>
      <c r="BO33" s="311">
        <f>$AW33/$AW$38*'Bázis modell AKM-ei'!BO$38</f>
        <v>7318852.8919065557</v>
      </c>
      <c r="BP33" s="312">
        <f>$AX33/$AX$38*'Bázis modell AKM-ei'!BP$38</f>
        <v>5577885.310641381</v>
      </c>
      <c r="BQ33" s="90">
        <f t="shared" si="155"/>
        <v>15904109.867161755</v>
      </c>
      <c r="BR33" s="183"/>
      <c r="BS33" s="183"/>
      <c r="BT33" s="183"/>
      <c r="BU33" s="183"/>
      <c r="BV33" s="183"/>
      <c r="BW33" s="310">
        <f>$CO33/$CO$38*'Bázis modell AKM-ei'!BW$38</f>
        <v>2815642.2852633921</v>
      </c>
      <c r="BX33" s="311">
        <f>$CP33/$CP$38*'Bázis modell AKM-ei'!BX$38</f>
        <v>7022000.3321278235</v>
      </c>
      <c r="BY33" s="312">
        <f>$CQ33/$CQ$38*'Bázis modell AKM-ei'!BY$38</f>
        <v>5043460.2924724557</v>
      </c>
      <c r="BZ33" s="90">
        <f t="shared" si="157"/>
        <v>14881102.909863671</v>
      </c>
      <c r="CA33" s="183"/>
      <c r="CB33" s="183"/>
      <c r="CC33" s="183"/>
      <c r="CD33" s="183"/>
      <c r="CE33" s="183"/>
      <c r="CF33" s="310">
        <f>$CO33/$CO$38*'Bázis modell AKM-ei'!CF$38</f>
        <v>2979629.6457625972</v>
      </c>
      <c r="CG33" s="311">
        <f>$CP33/$CP$38*'Bázis modell AKM-ei'!CG$38</f>
        <v>7449242.2791590337</v>
      </c>
      <c r="CH33" s="312">
        <f>$CQ33/$CQ$38*'Bázis modell AKM-ei'!CH$38</f>
        <v>5268483.1414587488</v>
      </c>
      <c r="CI33" s="90">
        <f t="shared" si="159"/>
        <v>15697355.066380382</v>
      </c>
      <c r="CJ33" s="183"/>
      <c r="CK33" s="183"/>
      <c r="CL33" s="183"/>
      <c r="CM33" s="183"/>
      <c r="CN33" s="183"/>
      <c r="CO33" s="255">
        <f>'[6]ÁKM agg 3x3'!C11/'[6]ÁKM agg 3x3'!C$16*'Bázis modell AKM-ei'!CO$38</f>
        <v>2984889.946322171</v>
      </c>
      <c r="CP33" s="256">
        <f>'[6]ÁKM agg 3x3'!D11/'[6]ÁKM agg 3x3'!D$16*'Bázis modell AKM-ei'!CP$38</f>
        <v>7462202.9967445722</v>
      </c>
      <c r="CQ33" s="257">
        <f>'[6]ÁKM agg 3x3'!E11/'[6]ÁKM agg 3x3'!E$16*'Bázis modell AKM-ei'!CQ$38</f>
        <v>5215727.1633589659</v>
      </c>
      <c r="CR33" s="90">
        <f t="shared" si="161"/>
        <v>15662820.106425708</v>
      </c>
      <c r="CS33" s="183"/>
      <c r="CT33" s="183"/>
      <c r="CU33" s="183"/>
      <c r="CV33" s="183"/>
      <c r="CW33" s="183"/>
      <c r="CX33" s="310">
        <f>$CO33/$CO$38*'Bázis modell AKM-ei'!CX$38</f>
        <v>3163826.7960979682</v>
      </c>
      <c r="CY33" s="311">
        <f>$CP33/$CP$38*'Bázis modell AKM-ei'!CY$38</f>
        <v>7923335.7488018572</v>
      </c>
      <c r="CZ33" s="312">
        <f>$CQ33/$CQ$38*'Bázis modell AKM-ei'!CZ$38</f>
        <v>5498144.105732833</v>
      </c>
      <c r="DA33" s="90">
        <f t="shared" si="163"/>
        <v>16585306.650632657</v>
      </c>
      <c r="DB33" s="183"/>
      <c r="DC33" s="183"/>
      <c r="DD33" s="183"/>
      <c r="DE33" s="183"/>
      <c r="DF33" s="183"/>
      <c r="DG33" s="310">
        <f>$CO33/$CO$38*'Bázis modell AKM-ei'!DG$38</f>
        <v>3287932.9463444292</v>
      </c>
      <c r="DH33" s="311">
        <f>$CP33/$CP$38*'Bázis modell AKM-ei'!DH$38</f>
        <v>8244785.0529800085</v>
      </c>
      <c r="DI33" s="312">
        <f>$CQ33/$CQ$38*'Bázis modell AKM-ei'!DI$38</f>
        <v>5666847.2368910499</v>
      </c>
      <c r="DJ33" s="90">
        <f t="shared" si="165"/>
        <v>17199565.236215487</v>
      </c>
      <c r="DK33" s="183"/>
      <c r="DL33" s="183"/>
      <c r="DM33" s="183"/>
      <c r="DN33" s="183"/>
      <c r="DO33" s="183"/>
      <c r="DP33" s="310">
        <f>$CO33/$CO$38*'Bázis modell AKM-ei'!DP$38</f>
        <v>3412039.096590891</v>
      </c>
      <c r="DQ33" s="311">
        <f>$CP33/$CP$38*'Bázis modell AKM-ei'!DQ$38</f>
        <v>8566234.3571581636</v>
      </c>
      <c r="DR33" s="312">
        <f>$CQ33/$CQ$38*'Bázis modell AKM-ei'!DR$38</f>
        <v>5835550.3680492667</v>
      </c>
      <c r="DS33" s="90">
        <f t="shared" si="167"/>
        <v>17813823.821798321</v>
      </c>
      <c r="DT33" s="183"/>
      <c r="DU33" s="183"/>
      <c r="DV33" s="183"/>
      <c r="DW33" s="183"/>
      <c r="DX33" s="183"/>
      <c r="DY33" s="310">
        <f>$CO33/$CO$38*'Bázis modell AKM-ei'!DY$38</f>
        <v>3536145.2468373603</v>
      </c>
      <c r="DZ33" s="311">
        <f>$CP33/$CP$38*'Bázis modell AKM-ei'!DZ$38</f>
        <v>8887683.6613363381</v>
      </c>
      <c r="EA33" s="312">
        <f>$CQ33/$CQ$38*'Bázis modell AKM-ei'!EA$38</f>
        <v>6004253.4992074873</v>
      </c>
      <c r="EB33" s="90">
        <f t="shared" si="169"/>
        <v>18428082.407381184</v>
      </c>
      <c r="EC33" s="183"/>
      <c r="ED33" s="183"/>
      <c r="EE33" s="183"/>
      <c r="EF33" s="183"/>
      <c r="EG33" s="183"/>
      <c r="EH33" s="310">
        <f>$CO33/$CO$38*'Bázis modell AKM-ei'!EH$38</f>
        <v>3660251.3970838296</v>
      </c>
      <c r="EI33" s="311">
        <f>$CP33/$CP$38*'Bázis modell AKM-ei'!EI$38</f>
        <v>9209132.9655145034</v>
      </c>
      <c r="EJ33" s="312">
        <f>$CQ33/$CQ$38*'Bázis modell AKM-ei'!EJ$38</f>
        <v>6172956.6303657433</v>
      </c>
      <c r="EK33" s="90">
        <f t="shared" si="171"/>
        <v>19042340.992964078</v>
      </c>
      <c r="EL33" s="183"/>
      <c r="EM33" s="183"/>
      <c r="EN33" s="183"/>
      <c r="EO33" s="183"/>
      <c r="EP33" s="183"/>
    </row>
    <row r="34" spans="2:146" ht="15" thickBot="1" x14ac:dyDescent="0.4">
      <c r="B34" t="str">
        <f t="shared" si="138"/>
        <v>Egyéb termelési adók és támogatások egyenlege</v>
      </c>
      <c r="C34" s="255">
        <v>-188291.18735205763</v>
      </c>
      <c r="D34" s="256">
        <v>149838.8152273859</v>
      </c>
      <c r="E34" s="257">
        <v>36293.795452562365</v>
      </c>
      <c r="F34" s="90">
        <f t="shared" si="141"/>
        <v>-2158.5766721093678</v>
      </c>
      <c r="L34" s="313">
        <f t="shared" si="231"/>
        <v>-194953.82847399425</v>
      </c>
      <c r="M34" s="314">
        <f t="shared" si="231"/>
        <v>155320.09181526583</v>
      </c>
      <c r="N34" s="315">
        <f t="shared" si="231"/>
        <v>36660.544874449224</v>
      </c>
      <c r="O34" s="90">
        <f t="shared" si="143"/>
        <v>-2973.1917842791954</v>
      </c>
      <c r="T34" s="241"/>
      <c r="U34" s="313">
        <f>L34/L$38*'Bázis modell AKM-ei'!U$38</f>
        <v>-190732.38578955567</v>
      </c>
      <c r="V34" s="314">
        <f>M34/M$38*'Bázis modell AKM-ei'!V$38</f>
        <v>151707.11618135136</v>
      </c>
      <c r="W34" s="315">
        <f>N34/N$38*'Bázis modell AKM-ei'!W$38</f>
        <v>35911.659365841173</v>
      </c>
      <c r="X34" s="90">
        <f t="shared" si="145"/>
        <v>-3113.6102423631382</v>
      </c>
      <c r="Y34" s="183"/>
      <c r="Z34" s="183"/>
      <c r="AA34" s="183"/>
      <c r="AB34" s="183"/>
      <c r="AC34" s="241"/>
      <c r="AD34" s="313">
        <f>$AV34/$AV$38*'Bázis modell AKM-ei'!AD$38</f>
        <v>-235754.65562027754</v>
      </c>
      <c r="AE34" s="314">
        <f>$AW34/$AW$38*'Bázis modell AKM-ei'!AE$38</f>
        <v>174485.69586886876</v>
      </c>
      <c r="AF34" s="315">
        <f>$AX34/$AX$38*'Bázis modell AKM-ei'!AF$38</f>
        <v>-4025.8803990654237</v>
      </c>
      <c r="AG34" s="90">
        <f t="shared" si="147"/>
        <v>-65294.840150474207</v>
      </c>
      <c r="AH34" s="183"/>
      <c r="AI34" s="183"/>
      <c r="AJ34" s="183"/>
      <c r="AK34" s="183"/>
      <c r="AL34" s="241"/>
      <c r="AM34" s="313">
        <f>$AV34/$AV$38*'Bázis modell AKM-ei'!AM$38</f>
        <v>-253809.50015826517</v>
      </c>
      <c r="AN34" s="314">
        <f>$AW34/$AW$38*'Bázis modell AKM-ei'!AN$38</f>
        <v>188838.74299085091</v>
      </c>
      <c r="AO34" s="315">
        <f>$AX34/$AX$38*'Bázis modell AKM-ei'!AO$38</f>
        <v>-4174.0678261036273</v>
      </c>
      <c r="AP34" s="90">
        <f t="shared" si="212"/>
        <v>-69144.82499351789</v>
      </c>
      <c r="AQ34" s="183"/>
      <c r="AR34" s="183"/>
      <c r="AS34" s="183"/>
      <c r="AT34" s="183"/>
      <c r="AU34" s="241"/>
      <c r="AV34" s="255">
        <f>'[5]Tény 2015'!D100/'[5]Tény 2015'!D$106*'Bázis modell AKM-ei'!AV$38</f>
        <v>-267105.18573546939</v>
      </c>
      <c r="AW34" s="256">
        <f>'[5]Tény 2015'!E100/'[5]Tény 2015'!E$106*'Bázis modell AKM-ei'!AW$38</f>
        <v>199131.7012974114</v>
      </c>
      <c r="AX34" s="257">
        <f>'[5]Tény 2015'!F100/'[5]Tény 2015'!F$106*'Bázis modell AKM-ei'!AX$38</f>
        <v>-4318.8580390428206</v>
      </c>
      <c r="AY34" s="90">
        <f t="shared" si="151"/>
        <v>-72292.342477100814</v>
      </c>
      <c r="AZ34" s="183"/>
      <c r="BA34" s="183"/>
      <c r="BB34" s="183"/>
      <c r="BC34" s="183"/>
      <c r="BD34" s="183"/>
      <c r="BE34" s="313">
        <f>$AV34/$AV$38*'Bázis modell AKM-ei'!BE$38</f>
        <v>-274782.6082173395</v>
      </c>
      <c r="BF34" s="314">
        <f>$AW34/$AW$38*'Bázis modell AKM-ei'!BF$38</f>
        <v>204647.62331489957</v>
      </c>
      <c r="BG34" s="315">
        <f>$AX34/$AX$38*'Bázis modell AKM-ei'!BG$38</f>
        <v>-4469.0380532867885</v>
      </c>
      <c r="BH34" s="90">
        <f t="shared" si="153"/>
        <v>-74604.022955726716</v>
      </c>
      <c r="BI34" s="183"/>
      <c r="BJ34" s="183"/>
      <c r="BK34" s="183"/>
      <c r="BL34" s="183"/>
      <c r="BM34" s="241"/>
      <c r="BN34" s="313">
        <f>$AV34/$AV$38*'Bázis modell AKM-ei'!BN$38</f>
        <v>-291982.27902071719</v>
      </c>
      <c r="BO34" s="314">
        <f>$AW34/$AW$38*'Bázis modell AKM-ei'!BO$38</f>
        <v>217942.93826066222</v>
      </c>
      <c r="BP34" s="315">
        <f>$AX34/$AX$38*'Bázis modell AKM-ei'!BP$38</f>
        <v>-4672.8759220533875</v>
      </c>
      <c r="BQ34" s="90">
        <f t="shared" si="155"/>
        <v>-78712.216682108352</v>
      </c>
      <c r="BR34" s="183"/>
      <c r="BS34" s="183"/>
      <c r="BT34" s="183"/>
      <c r="BU34" s="183"/>
      <c r="BV34" s="241"/>
      <c r="BW34" s="313">
        <f>$CO34/$CO$38*'Bázis modell AKM-ei'!BW$38</f>
        <v>178711.07170528173</v>
      </c>
      <c r="BX34" s="314">
        <f>$CP34/$CP$38*'Bázis modell AKM-ei'!BX$38</f>
        <v>1363950.5479026032</v>
      </c>
      <c r="BY34" s="315">
        <f>$CQ34/$CQ$38*'Bázis modell AKM-ei'!BY$38</f>
        <v>785887.99686303479</v>
      </c>
      <c r="BZ34" s="90">
        <f t="shared" si="157"/>
        <v>2328549.6164709199</v>
      </c>
      <c r="CA34" s="183"/>
      <c r="CB34" s="183"/>
      <c r="CC34" s="183"/>
      <c r="CD34" s="183"/>
      <c r="CE34" s="241"/>
      <c r="CF34" s="313">
        <f>$CO34/$CO$38*'Bázis modell AKM-ei'!CF$38</f>
        <v>189119.48086091844</v>
      </c>
      <c r="CG34" s="314">
        <f>$CP34/$CP$38*'Bázis modell AKM-ei'!CG$38</f>
        <v>1446937.8535388608</v>
      </c>
      <c r="CH34" s="315">
        <f>$CQ34/$CQ$38*'Bázis modell AKM-ei'!CH$38</f>
        <v>820951.77168886131</v>
      </c>
      <c r="CI34" s="90">
        <f t="shared" si="159"/>
        <v>2457009.1060886406</v>
      </c>
      <c r="CJ34" s="183"/>
      <c r="CK34" s="183"/>
      <c r="CL34" s="183"/>
      <c r="CM34" s="183"/>
      <c r="CN34" s="241"/>
      <c r="CO34" s="255">
        <f>'[6]ÁKM agg 3x3'!C12/'[6]ÁKM agg 3x3'!C$16*'Bázis modell AKM-ei'!CO$38</f>
        <v>189453.35635192576</v>
      </c>
      <c r="CP34" s="256">
        <f>'[6]ÁKM agg 3x3'!D12/'[6]ÁKM agg 3x3'!D$16*'Bázis modell AKM-ei'!CP$38</f>
        <v>1449455.3381608885</v>
      </c>
      <c r="CQ34" s="257">
        <f>'[6]ÁKM agg 3x3'!E12/'[6]ÁKM agg 3x3'!E$16*'Bázis modell AKM-ei'!CQ$38</f>
        <v>812731.16766957927</v>
      </c>
      <c r="CR34" s="90">
        <f t="shared" si="161"/>
        <v>2451639.8621823937</v>
      </c>
      <c r="CS34" s="183"/>
      <c r="CT34" s="183"/>
      <c r="CU34" s="183"/>
      <c r="CV34" s="183"/>
      <c r="CW34" s="183"/>
      <c r="CX34" s="313">
        <f>$CO34/$CO$38*'Bázis modell AKM-ei'!CX$38</f>
        <v>200810.62156930345</v>
      </c>
      <c r="CY34" s="314">
        <f>$CP34/$CP$38*'Bázis modell AKM-ei'!CY$38</f>
        <v>1539025.5802679234</v>
      </c>
      <c r="CZ34" s="315">
        <f>$CQ34/$CQ$38*'Bázis modell AKM-ei'!CZ$38</f>
        <v>856738.27236586227</v>
      </c>
      <c r="DA34" s="90">
        <f t="shared" si="163"/>
        <v>2596574.4742030893</v>
      </c>
      <c r="DB34" s="183"/>
      <c r="DC34" s="183"/>
      <c r="DD34" s="183"/>
      <c r="DE34" s="183"/>
      <c r="DF34" s="241"/>
      <c r="DG34" s="313">
        <f>$CO34/$CO$38*'Bázis modell AKM-ei'!DG$38</f>
        <v>208687.73835784002</v>
      </c>
      <c r="DH34" s="314">
        <f>$CP34/$CP$38*'Bázis modell AKM-ei'!DH$38</f>
        <v>1601463.7650898036</v>
      </c>
      <c r="DI34" s="315">
        <f>$CQ34/$CQ$38*'Bázis modell AKM-ei'!DI$38</f>
        <v>883026.12993229064</v>
      </c>
      <c r="DJ34" s="90">
        <f t="shared" si="165"/>
        <v>2693177.6333799344</v>
      </c>
      <c r="DK34" s="183"/>
      <c r="DL34" s="183"/>
      <c r="DM34" s="183"/>
      <c r="DN34" s="183"/>
      <c r="DO34" s="241"/>
      <c r="DP34" s="313">
        <f>$CO34/$CO$38*'Bázis modell AKM-ei'!DP$38</f>
        <v>216564.85514637665</v>
      </c>
      <c r="DQ34" s="314">
        <f>$CP34/$CP$38*'Bázis modell AKM-ei'!DQ$38</f>
        <v>1663901.9499116843</v>
      </c>
      <c r="DR34" s="315">
        <f>$CQ34/$CQ$38*'Bázis modell AKM-ei'!DR$38</f>
        <v>909313.98749871901</v>
      </c>
      <c r="DS34" s="90">
        <f t="shared" si="167"/>
        <v>2789780.7925567799</v>
      </c>
      <c r="DT34" s="183"/>
      <c r="DU34" s="183"/>
      <c r="DV34" s="183"/>
      <c r="DW34" s="183"/>
      <c r="DX34" s="241"/>
      <c r="DY34" s="313">
        <f>$CO34/$CO$38*'Bázis modell AKM-ei'!DY$38</f>
        <v>224441.97193491377</v>
      </c>
      <c r="DZ34" s="314">
        <f>$CP34/$CP$38*'Bázis modell AKM-ei'!DZ$38</f>
        <v>1726340.1347335691</v>
      </c>
      <c r="EA34" s="315">
        <f>$CQ34/$CQ$38*'Bázis modell AKM-ei'!EA$38</f>
        <v>935601.84506514773</v>
      </c>
      <c r="EB34" s="90">
        <f t="shared" si="169"/>
        <v>2886383.9517336306</v>
      </c>
      <c r="EC34" s="183"/>
      <c r="ED34" s="183"/>
      <c r="EE34" s="183"/>
      <c r="EF34" s="183"/>
      <c r="EG34" s="241"/>
      <c r="EH34" s="313">
        <f>$CO34/$CO$38*'Bázis modell AKM-ei'!EH$38</f>
        <v>232319.08872345084</v>
      </c>
      <c r="EI34" s="314">
        <f>$CP34/$CP$38*'Bázis modell AKM-ei'!EI$38</f>
        <v>1788778.3195554514</v>
      </c>
      <c r="EJ34" s="315">
        <f>$CQ34/$CQ$38*'Bázis modell AKM-ei'!EJ$38</f>
        <v>961889.70263158227</v>
      </c>
      <c r="EK34" s="90">
        <f t="shared" si="171"/>
        <v>2982987.1109104846</v>
      </c>
      <c r="EL34" s="183"/>
      <c r="EM34" s="183"/>
      <c r="EN34" s="183"/>
      <c r="EO34" s="183"/>
      <c r="EP34" s="241"/>
    </row>
    <row r="35" spans="2:146" ht="15" thickBot="1" x14ac:dyDescent="0.4">
      <c r="B35" t="str">
        <f t="shared" si="138"/>
        <v>Állóeszközfelhasználás</v>
      </c>
      <c r="C35" s="255">
        <v>904332.79748054198</v>
      </c>
      <c r="D35" s="256">
        <v>3364263.0751128155</v>
      </c>
      <c r="E35" s="257">
        <v>1235648.502661126</v>
      </c>
      <c r="F35" s="90">
        <f t="shared" si="141"/>
        <v>5504244.375254483</v>
      </c>
      <c r="L35" s="313">
        <f t="shared" si="231"/>
        <v>936332.40919441439</v>
      </c>
      <c r="M35" s="314">
        <f t="shared" si="231"/>
        <v>3487331.6965584722</v>
      </c>
      <c r="N35" s="315">
        <f t="shared" si="231"/>
        <v>1248134.7518493284</v>
      </c>
      <c r="O35" s="90">
        <f t="shared" si="143"/>
        <v>5671798.8576022144</v>
      </c>
      <c r="T35" s="241"/>
      <c r="U35" s="313">
        <f>L35/L$38*'Bázis modell AKM-ei'!U$38</f>
        <v>916057.48753764993</v>
      </c>
      <c r="V35" s="314">
        <f>M35/M$38*'Bázis modell AKM-ei'!V$38</f>
        <v>3406211.1905132588</v>
      </c>
      <c r="W35" s="315">
        <f>N35/N$38*'Bázis modell AKM-ei'!W$38</f>
        <v>1222638.4033457488</v>
      </c>
      <c r="X35" s="90">
        <f t="shared" si="145"/>
        <v>5544907.081396658</v>
      </c>
      <c r="Y35" s="183"/>
      <c r="Z35" s="183"/>
      <c r="AA35" s="183"/>
      <c r="AB35" s="183"/>
      <c r="AC35" s="241"/>
      <c r="AD35" s="313">
        <f>$AV35/$AV$38*'Bázis modell AKM-ei'!AD$38</f>
        <v>742929.41018070572</v>
      </c>
      <c r="AE35" s="314">
        <f>$AW35/$AW$38*'Bázis modell AKM-ei'!AE$38</f>
        <v>3258075.1718860422</v>
      </c>
      <c r="AF35" s="315">
        <f>$AX35/$AX$38*'Bázis modell AKM-ei'!AF$38</f>
        <v>1160575.7294672746</v>
      </c>
      <c r="AG35" s="90">
        <f t="shared" si="147"/>
        <v>5161580.3115340229</v>
      </c>
      <c r="AH35" s="183"/>
      <c r="AI35" s="183"/>
      <c r="AJ35" s="183"/>
      <c r="AK35" s="183"/>
      <c r="AL35" s="241"/>
      <c r="AM35" s="313">
        <f>$AV35/$AV$38*'Bázis modell AKM-ei'!AM$38</f>
        <v>799825.31736107613</v>
      </c>
      <c r="AN35" s="314">
        <f>$AW35/$AW$38*'Bázis modell AKM-ei'!AN$38</f>
        <v>3526081.7052364005</v>
      </c>
      <c r="AO35" s="315">
        <f>$AX35/$AX$38*'Bázis modell AKM-ei'!AO$38</f>
        <v>1203295.0142410265</v>
      </c>
      <c r="AP35" s="90">
        <f t="shared" si="212"/>
        <v>5529202.0368385036</v>
      </c>
      <c r="AQ35" s="183"/>
      <c r="AR35" s="183"/>
      <c r="AS35" s="183"/>
      <c r="AT35" s="183"/>
      <c r="AU35" s="241"/>
      <c r="AV35" s="255">
        <f>'[5]Tény 2015'!D101/'[5]Tény 2015'!D$106*'Bázis modell AKM-ei'!AV$38</f>
        <v>841723.77242162102</v>
      </c>
      <c r="AW35" s="256">
        <f>'[5]Tény 2015'!E101/'[5]Tény 2015'!E$106*'Bázis modell AKM-ei'!AW$38</f>
        <v>3718276.4392337687</v>
      </c>
      <c r="AX35" s="257">
        <f>'[5]Tény 2015'!F101/'[5]Tény 2015'!F$106*'Bázis modell AKM-ei'!AX$38</f>
        <v>1245034.9544142704</v>
      </c>
      <c r="AY35" s="90">
        <f t="shared" si="151"/>
        <v>5805035.1660696603</v>
      </c>
      <c r="AZ35" s="183"/>
      <c r="BA35" s="183"/>
      <c r="BB35" s="183"/>
      <c r="BC35" s="183"/>
      <c r="BD35" s="183"/>
      <c r="BE35" s="313">
        <f>$AV35/$AV$38*'Bázis modell AKM-ei'!BE$38</f>
        <v>865917.49593964452</v>
      </c>
      <c r="BF35" s="314">
        <f>$AW35/$AW$38*'Bázis modell AKM-ei'!BF$38</f>
        <v>3821272.2090918534</v>
      </c>
      <c r="BG35" s="315">
        <f>$AX35/$AX$38*'Bázis modell AKM-ei'!BG$38</f>
        <v>1288328.659717354</v>
      </c>
      <c r="BH35" s="90">
        <f t="shared" si="153"/>
        <v>5975518.3647488514</v>
      </c>
      <c r="BI35" s="183"/>
      <c r="BJ35" s="183"/>
      <c r="BK35" s="183"/>
      <c r="BL35" s="183"/>
      <c r="BM35" s="241"/>
      <c r="BN35" s="313">
        <f>$AV35/$AV$38*'Bázis modell AKM-ei'!BN$38</f>
        <v>920118.50949603028</v>
      </c>
      <c r="BO35" s="314">
        <f>$AW35/$AW$38*'Bázis modell AKM-ei'!BO$38</f>
        <v>4069528.2928441218</v>
      </c>
      <c r="BP35" s="315">
        <f>$AX35/$AX$38*'Bázis modell AKM-ei'!BP$38</f>
        <v>1347090.783721775</v>
      </c>
      <c r="BQ35" s="90">
        <f t="shared" si="155"/>
        <v>6336737.5860619266</v>
      </c>
      <c r="BR35" s="183"/>
      <c r="BS35" s="183"/>
      <c r="BT35" s="183"/>
      <c r="BU35" s="183"/>
      <c r="BV35" s="241"/>
      <c r="BW35" s="313">
        <f>$CO35/$CO$38*'Bázis modell AKM-ei'!BW$38</f>
        <v>1043992.3337077149</v>
      </c>
      <c r="BX35" s="314">
        <f>$CP35/$CP$38*'Bázis modell AKM-ei'!BX$38</f>
        <v>4628955.315617241</v>
      </c>
      <c r="BY35" s="315">
        <f>$CQ35/$CQ$38*'Bázis modell AKM-ei'!BY$38</f>
        <v>1483883.7845975403</v>
      </c>
      <c r="BZ35" s="90">
        <f t="shared" si="157"/>
        <v>7156831.4339224957</v>
      </c>
      <c r="CA35" s="183"/>
      <c r="CB35" s="183"/>
      <c r="CC35" s="183"/>
      <c r="CD35" s="183"/>
      <c r="CE35" s="241"/>
      <c r="CF35" s="313">
        <f>$CO35/$CO$38*'Bázis modell AKM-ei'!CF$38</f>
        <v>1104796.0615399661</v>
      </c>
      <c r="CG35" s="314">
        <f>$CP35/$CP$38*'Bázis modell AKM-ei'!CG$38</f>
        <v>4910596.4133420968</v>
      </c>
      <c r="CH35" s="315">
        <f>$CQ35/$CQ$38*'Bázis modell AKM-ei'!CH$38</f>
        <v>1550089.8687959369</v>
      </c>
      <c r="CI35" s="90">
        <f t="shared" si="159"/>
        <v>7565482.3436779995</v>
      </c>
      <c r="CJ35" s="183"/>
      <c r="CK35" s="183"/>
      <c r="CL35" s="183"/>
      <c r="CM35" s="183"/>
      <c r="CN35" s="241"/>
      <c r="CO35" s="255">
        <f>'[6]ÁKM agg 3x3'!C13/'[6]ÁKM agg 3x3'!C$16*'Bázis modell AKM-ei'!CO$38</f>
        <v>1106746.4916375452</v>
      </c>
      <c r="CP35" s="256">
        <f>'[6]ÁKM agg 3x3'!D13/'[6]ÁKM agg 3x3'!D$16*'Bázis modell AKM-ei'!CP$38</f>
        <v>4919140.2156383311</v>
      </c>
      <c r="CQ35" s="257">
        <f>'[6]ÁKM agg 3x3'!E13/'[6]ÁKM agg 3x3'!E$16*'Bázis modell AKM-ei'!CQ$38</f>
        <v>1534568.0373740275</v>
      </c>
      <c r="CR35" s="90">
        <f t="shared" si="161"/>
        <v>7560454.7446499038</v>
      </c>
      <c r="CS35" s="183"/>
      <c r="CT35" s="183"/>
      <c r="CU35" s="183"/>
      <c r="CV35" s="183"/>
      <c r="CW35" s="183"/>
      <c r="CX35" s="313">
        <f>$CO35/$CO$38*'Bázis modell AKM-ei'!CX$38</f>
        <v>1173093.2361659489</v>
      </c>
      <c r="CY35" s="314">
        <f>$CP35/$CP$38*'Bázis modell AKM-ei'!CY$38</f>
        <v>5223122.3863702929</v>
      </c>
      <c r="CZ35" s="315">
        <f>$CQ35/$CQ$38*'Bázis modell AKM-ei'!CZ$38</f>
        <v>1617660.5764210154</v>
      </c>
      <c r="DA35" s="90">
        <f t="shared" si="163"/>
        <v>8013876.198957257</v>
      </c>
      <c r="DB35" s="183"/>
      <c r="DC35" s="183"/>
      <c r="DD35" s="183"/>
      <c r="DE35" s="183"/>
      <c r="DF35" s="241"/>
      <c r="DG35" s="313">
        <f>$CO35/$CO$38*'Bázis modell AKM-ei'!DG$38</f>
        <v>1219109.6886469368</v>
      </c>
      <c r="DH35" s="314">
        <f>$CP35/$CP$38*'Bázis modell AKM-ei'!DH$38</f>
        <v>5435024.1800043629</v>
      </c>
      <c r="DI35" s="315">
        <f>$CQ35/$CQ$38*'Bázis modell AKM-ei'!DI$38</f>
        <v>1667296.3078869982</v>
      </c>
      <c r="DJ35" s="90">
        <f t="shared" si="165"/>
        <v>8321430.1765382979</v>
      </c>
      <c r="DK35" s="183"/>
      <c r="DL35" s="183"/>
      <c r="DM35" s="183"/>
      <c r="DN35" s="183"/>
      <c r="DO35" s="241"/>
      <c r="DP35" s="313">
        <f>$CO35/$CO$38*'Bázis modell AKM-ei'!DP$38</f>
        <v>1265126.1411279249</v>
      </c>
      <c r="DQ35" s="314">
        <f>$CP35/$CP$38*'Bázis modell AKM-ei'!DQ$38</f>
        <v>5646925.9736384349</v>
      </c>
      <c r="DR35" s="315">
        <f>$CQ35/$CQ$38*'Bázis modell AKM-ei'!DR$38</f>
        <v>1716932.0393529811</v>
      </c>
      <c r="DS35" s="90">
        <f t="shared" si="167"/>
        <v>8628984.1541193407</v>
      </c>
      <c r="DT35" s="183"/>
      <c r="DU35" s="183"/>
      <c r="DV35" s="183"/>
      <c r="DW35" s="183"/>
      <c r="DX35" s="241"/>
      <c r="DY35" s="313">
        <f>$CO35/$CO$38*'Bázis modell AKM-ei'!DY$38</f>
        <v>1311142.593608916</v>
      </c>
      <c r="DZ35" s="314">
        <f>$CP35/$CP$38*'Bázis modell AKM-ei'!DZ$38</f>
        <v>5858827.7672725199</v>
      </c>
      <c r="EA35" s="315">
        <f>$CQ35/$CQ$38*'Bázis modell AKM-ei'!EA$38</f>
        <v>1766567.7708189648</v>
      </c>
      <c r="EB35" s="90">
        <f t="shared" si="169"/>
        <v>8936538.1317004003</v>
      </c>
      <c r="EC35" s="183"/>
      <c r="ED35" s="183"/>
      <c r="EE35" s="183"/>
      <c r="EF35" s="183"/>
      <c r="EG35" s="241"/>
      <c r="EH35" s="313">
        <f>$CO35/$CO$38*'Bázis modell AKM-ei'!EH$38</f>
        <v>1357159.0460899069</v>
      </c>
      <c r="EI35" s="314">
        <f>$CP35/$CP$38*'Bázis modell AKM-ei'!EI$38</f>
        <v>6070729.5609065974</v>
      </c>
      <c r="EJ35" s="315">
        <f>$CQ35/$CQ$38*'Bázis modell AKM-ei'!EJ$38</f>
        <v>1816203.5022849592</v>
      </c>
      <c r="EK35" s="90">
        <f t="shared" si="171"/>
        <v>9244092.1092814635</v>
      </c>
      <c r="EL35" s="183"/>
      <c r="EM35" s="183"/>
      <c r="EN35" s="183"/>
      <c r="EO35" s="183"/>
      <c r="EP35" s="241"/>
    </row>
    <row r="36" spans="2:146" ht="15" thickBot="1" x14ac:dyDescent="0.4">
      <c r="B36" t="str">
        <f t="shared" si="138"/>
        <v>Nettó működési eredmény</v>
      </c>
      <c r="C36" s="255">
        <v>1777715.9740759537</v>
      </c>
      <c r="D36" s="256">
        <v>4581736.077756431</v>
      </c>
      <c r="E36" s="257">
        <v>611020.25786981767</v>
      </c>
      <c r="F36" s="90">
        <f t="shared" si="141"/>
        <v>6970472.3097022017</v>
      </c>
      <c r="L36" s="316">
        <f t="shared" si="231"/>
        <v>1840620.0521614365</v>
      </c>
      <c r="M36" s="317">
        <f t="shared" si="231"/>
        <v>4749341.2650821591</v>
      </c>
      <c r="N36" s="318">
        <f t="shared" si="231"/>
        <v>617194.62799398438</v>
      </c>
      <c r="O36" s="90">
        <f t="shared" si="143"/>
        <v>7207155.9452375798</v>
      </c>
      <c r="U36" s="316">
        <f>L36/L$38*'Bázis modell AKM-ei'!U$38</f>
        <v>1800764.0918304785</v>
      </c>
      <c r="V36" s="317">
        <f>M36/M$38*'Bázis modell AKM-ei'!V$38</f>
        <v>4638864.5452493168</v>
      </c>
      <c r="W36" s="318">
        <f>N36/N$38*'Bázis modell AKM-ei'!W$38</f>
        <v>604586.84721826622</v>
      </c>
      <c r="X36" s="90">
        <f t="shared" si="145"/>
        <v>7044215.4842980616</v>
      </c>
      <c r="Y36" s="183"/>
      <c r="Z36" s="183"/>
      <c r="AA36" s="183"/>
      <c r="AB36" s="183"/>
      <c r="AC36" s="183"/>
      <c r="AD36" s="316">
        <f>$AV36/$AV$38*'Bázis modell AKM-ei'!AD$38</f>
        <v>2155017.4058836689</v>
      </c>
      <c r="AE36" s="317">
        <f>$AW36/$AW$38*'Bázis modell AKM-ei'!AE$38</f>
        <v>5008480.5028325925</v>
      </c>
      <c r="AF36" s="318">
        <f>$AX36/$AX$38*'Bázis modell AKM-ei'!AF$38</f>
        <v>852455.04105304298</v>
      </c>
      <c r="AG36" s="90">
        <f t="shared" si="147"/>
        <v>8015952.9497693041</v>
      </c>
      <c r="AH36" s="183"/>
      <c r="AI36" s="183"/>
      <c r="AJ36" s="183"/>
      <c r="AK36" s="183"/>
      <c r="AL36" s="183"/>
      <c r="AM36" s="316">
        <f>$AV36/$AV$38*'Bázis modell AKM-ei'!AM$38</f>
        <v>2320055.5220452254</v>
      </c>
      <c r="AN36" s="317">
        <f>$AW36/$AW$38*'Bázis modell AKM-ei'!AN$38</f>
        <v>5420473.9118551295</v>
      </c>
      <c r="AO36" s="318">
        <f>$AX36/$AX$38*'Bázis modell AKM-ei'!AO$38</f>
        <v>883832.80359877623</v>
      </c>
      <c r="AP36" s="90">
        <f t="shared" si="212"/>
        <v>8624362.2374991309</v>
      </c>
      <c r="AQ36" s="183"/>
      <c r="AR36" s="183"/>
      <c r="AS36" s="183"/>
      <c r="AT36" s="183"/>
      <c r="AU36" s="183"/>
      <c r="AV36" s="255">
        <f>'[5]Tény 2015'!D102/'[5]Tény 2015'!D$106*'Bázis modell AKM-ei'!AV$38</f>
        <v>2441590.487141232</v>
      </c>
      <c r="AW36" s="256">
        <f>'[5]Tény 2015'!E102/'[5]Tény 2015'!E$106*'Bázis modell AKM-ei'!AW$38</f>
        <v>5715925.5288955318</v>
      </c>
      <c r="AX36" s="257">
        <f>'[5]Tény 2015'!F102/'[5]Tény 2015'!F$106*'Bázis modell AKM-ei'!AX$38</f>
        <v>914491.22726774844</v>
      </c>
      <c r="AY36" s="90">
        <f t="shared" si="151"/>
        <v>9072007.2433045115</v>
      </c>
      <c r="AZ36" s="183"/>
      <c r="BA36" s="183"/>
      <c r="BB36" s="183"/>
      <c r="BC36" s="183"/>
      <c r="BD36" s="183"/>
      <c r="BE36" s="316">
        <f>$AV36/$AV$38*'Bázis modell AKM-ei'!BE$38</f>
        <v>2511769.2882224764</v>
      </c>
      <c r="BF36" s="317">
        <f>$AW36/$AW$38*'Bázis modell AKM-ei'!BF$38</f>
        <v>5874255.9166225381</v>
      </c>
      <c r="BG36" s="318">
        <f>$AX36/$AX$38*'Bázis modell AKM-ei'!BG$38</f>
        <v>946290.90771464084</v>
      </c>
      <c r="BH36" s="90">
        <f t="shared" si="153"/>
        <v>9332316.1125596557</v>
      </c>
      <c r="BI36" s="183"/>
      <c r="BJ36" s="183"/>
      <c r="BK36" s="183"/>
      <c r="BL36" s="183"/>
      <c r="BM36" s="183"/>
      <c r="BN36" s="316">
        <f>$AV36/$AV$38*'Bázis modell AKM-ei'!BN$38</f>
        <v>2668990.3189555807</v>
      </c>
      <c r="BO36" s="317">
        <f>$AW36/$AW$38*'Bázis modell AKM-ei'!BO$38</f>
        <v>6255887.9200557303</v>
      </c>
      <c r="BP36" s="318">
        <f>$AX36/$AX$38*'Bázis modell AKM-ei'!BP$38</f>
        <v>989452.30387234432</v>
      </c>
      <c r="BQ36" s="90">
        <f t="shared" si="155"/>
        <v>9914330.5428836551</v>
      </c>
      <c r="BR36" s="183"/>
      <c r="BS36" s="183"/>
      <c r="BT36" s="183"/>
      <c r="BU36" s="183"/>
      <c r="BV36" s="183"/>
      <c r="BW36" s="316">
        <f>$CO36/$CO$38*'Bázis modell AKM-ei'!BW$38</f>
        <v>2801286.6867048424</v>
      </c>
      <c r="BX36" s="317">
        <f>$CP36/$CP$38*'Bázis modell AKM-ei'!BX$38</f>
        <v>6455591.6295621218</v>
      </c>
      <c r="BY36" s="318">
        <f>$CQ36/$CQ$38*'Bázis modell AKM-ei'!BY$38</f>
        <v>1178531.5309530548</v>
      </c>
      <c r="BZ36" s="90">
        <f t="shared" si="157"/>
        <v>10435409.84722002</v>
      </c>
      <c r="CA36" s="183"/>
      <c r="CB36" s="183"/>
      <c r="CC36" s="183"/>
      <c r="CD36" s="183"/>
      <c r="CE36" s="183"/>
      <c r="CF36" s="316">
        <f>$CO36/$CO$38*'Bázis modell AKM-ei'!CF$38</f>
        <v>2964437.9549460486</v>
      </c>
      <c r="CG36" s="317">
        <f>$CP36/$CP$38*'Bázis modell AKM-ei'!CG$38</f>
        <v>6848371.3798610996</v>
      </c>
      <c r="CH36" s="318">
        <f>$CQ36/$CQ$38*'Bázis modell AKM-ei'!CH$38</f>
        <v>1231113.7874468851</v>
      </c>
      <c r="CI36" s="90">
        <f t="shared" si="159"/>
        <v>11043923.122254033</v>
      </c>
      <c r="CJ36" s="183"/>
      <c r="CK36" s="183"/>
      <c r="CL36" s="183"/>
      <c r="CM36" s="183"/>
      <c r="CN36" s="183"/>
      <c r="CO36" s="255">
        <f>'[6]ÁKM agg 3x3'!C14/'[6]ÁKM agg 3x3'!C$16*'Bázis modell AKM-ei'!CO$38</f>
        <v>2969671.4357765941</v>
      </c>
      <c r="CP36" s="256">
        <f>'[6]ÁKM agg 3x3'!D14/'[6]ÁKM agg 3x3'!D$16*'Bázis modell AKM-ei'!CP$38</f>
        <v>6860286.6598384455</v>
      </c>
      <c r="CQ36" s="257">
        <f>'[6]ÁKM agg 3x3'!E14/'[6]ÁKM agg 3x3'!E$16*'Bázis modell AKM-ei'!CQ$38</f>
        <v>1218786.0243573927</v>
      </c>
      <c r="CR36" s="90">
        <f t="shared" si="161"/>
        <v>11048744.119972434</v>
      </c>
      <c r="CS36" s="183"/>
      <c r="CT36" s="183"/>
      <c r="CU36" s="183"/>
      <c r="CV36" s="183"/>
      <c r="CW36" s="183"/>
      <c r="CX36" s="316">
        <f>$CO36/$CO$38*'Bázis modell AKM-ei'!CX$38</f>
        <v>3147695.9730771324</v>
      </c>
      <c r="CY36" s="317">
        <f>$CP36/$CP$38*'Bázis modell AKM-ei'!CY$38</f>
        <v>7284223.5145090129</v>
      </c>
      <c r="CZ36" s="318">
        <f>$CQ36/$CQ$38*'Bázis modell AKM-ei'!CZ$38</f>
        <v>1284779.8564015799</v>
      </c>
      <c r="DA36" s="90">
        <f t="shared" si="163"/>
        <v>11716699.343987724</v>
      </c>
      <c r="DB36" s="183"/>
      <c r="DC36" s="183"/>
      <c r="DD36" s="183"/>
      <c r="DE36" s="183"/>
      <c r="DF36" s="183"/>
      <c r="DG36" s="316">
        <f>$CO36/$CO$38*'Bázis modell AKM-ei'!DG$38</f>
        <v>3271169.3660728196</v>
      </c>
      <c r="DH36" s="317">
        <f>$CP36/$CP$38*'Bázis modell AKM-ei'!DH$38</f>
        <v>7579744.0697967438</v>
      </c>
      <c r="DI36" s="318">
        <f>$CQ36/$CQ$38*'Bázis modell AKM-ei'!DI$38</f>
        <v>1324201.592255675</v>
      </c>
      <c r="DJ36" s="90">
        <f t="shared" si="165"/>
        <v>12175115.028125238</v>
      </c>
      <c r="DK36" s="183"/>
      <c r="DL36" s="183"/>
      <c r="DM36" s="183"/>
      <c r="DN36" s="183"/>
      <c r="DO36" s="183"/>
      <c r="DP36" s="316">
        <f>$CO36/$CO$38*'Bázis modell AKM-ei'!DP$38</f>
        <v>3394642.7590685077</v>
      </c>
      <c r="DQ36" s="317">
        <f>$CP36/$CP$38*'Bázis modell AKM-ei'!DQ$38</f>
        <v>7875264.6250844775</v>
      </c>
      <c r="DR36" s="318">
        <f>$CQ36/$CQ$38*'Bázis modell AKM-ei'!DR$38</f>
        <v>1363623.3281097705</v>
      </c>
      <c r="DS36" s="90">
        <f t="shared" si="167"/>
        <v>12633530.712262757</v>
      </c>
      <c r="DT36" s="183"/>
      <c r="DU36" s="183"/>
      <c r="DV36" s="183"/>
      <c r="DW36" s="183"/>
      <c r="DX36" s="183"/>
      <c r="DY36" s="316">
        <f>$CO36/$CO$38*'Bázis modell AKM-ei'!DY$38</f>
        <v>3518116.1520642038</v>
      </c>
      <c r="DZ36" s="317">
        <f>$CP36/$CP$38*'Bázis modell AKM-ei'!DZ$38</f>
        <v>8170785.1803722307</v>
      </c>
      <c r="EA36" s="318">
        <f>$CQ36/$CQ$38*'Bázis modell AKM-ei'!EA$38</f>
        <v>1403045.0639638663</v>
      </c>
      <c r="EB36" s="90">
        <f t="shared" si="169"/>
        <v>13091946.396400301</v>
      </c>
      <c r="EC36" s="183"/>
      <c r="ED36" s="183"/>
      <c r="EE36" s="183"/>
      <c r="EF36" s="183"/>
      <c r="EG36" s="183"/>
      <c r="EH36" s="316">
        <f>$CO36/$CO$38*'Bázis modell AKM-ei'!EH$38</f>
        <v>3641589.5450598989</v>
      </c>
      <c r="EI36" s="317">
        <f>$CP36/$CP$38*'Bázis modell AKM-ei'!EI$38</f>
        <v>8466305.7356599718</v>
      </c>
      <c r="EJ36" s="318">
        <f>$CQ36/$CQ$38*'Bázis modell AKM-ei'!EJ$38</f>
        <v>1442466.799817971</v>
      </c>
      <c r="EK36" s="90">
        <f t="shared" si="171"/>
        <v>13550362.080537841</v>
      </c>
      <c r="EL36" s="183"/>
      <c r="EM36" s="183"/>
      <c r="EN36" s="183"/>
      <c r="EO36" s="183"/>
      <c r="EP36" s="183"/>
    </row>
    <row r="37" spans="2:146" x14ac:dyDescent="0.35">
      <c r="B37" t="str">
        <f t="shared" si="138"/>
        <v>Bruttó hozzáadott érték alapáron</v>
      </c>
      <c r="C37" s="90">
        <f>SUM(C33:C36)</f>
        <v>5122674.0944265658</v>
      </c>
      <c r="D37" s="90">
        <f t="shared" ref="D37:E37" si="232">SUM(D33:D36)</f>
        <v>14150812.393198811</v>
      </c>
      <c r="E37" s="90">
        <f t="shared" si="232"/>
        <v>6588243.2445790926</v>
      </c>
      <c r="F37" s="90">
        <f t="shared" si="141"/>
        <v>25861729.732204467</v>
      </c>
      <c r="I37" s="3"/>
      <c r="L37" s="221">
        <f>SUM(L33:L36)</f>
        <v>5303938.7598407278</v>
      </c>
      <c r="M37" s="90">
        <f t="shared" ref="M37" si="233">SUM(M33:M36)</f>
        <v>14668465.422906868</v>
      </c>
      <c r="N37" s="90">
        <f t="shared" ref="N37" si="234">SUM(N33:N36)</f>
        <v>6654817.5549004683</v>
      </c>
      <c r="O37" s="90">
        <f t="shared" si="143"/>
        <v>26627221.737648062</v>
      </c>
      <c r="P37" s="241"/>
      <c r="Q37" s="183"/>
      <c r="R37" s="3"/>
      <c r="U37" s="221">
        <f>SUM(U33:U36)</f>
        <v>5189089.6509429934</v>
      </c>
      <c r="V37" s="90">
        <f t="shared" ref="V37" si="235">SUM(V33:V36)</f>
        <v>14327255.167746106</v>
      </c>
      <c r="W37" s="90">
        <f t="shared" ref="W37" si="236">SUM(W33:W36)</f>
        <v>6518875.8648256734</v>
      </c>
      <c r="X37" s="90">
        <f t="shared" si="145"/>
        <v>26035220.683514774</v>
      </c>
      <c r="Y37" s="241"/>
      <c r="Z37" s="183"/>
      <c r="AA37" s="3"/>
      <c r="AB37" s="183"/>
      <c r="AC37" s="183"/>
      <c r="AD37" s="221">
        <f>SUM(AD33:AD36)</f>
        <v>5090428.1256237011</v>
      </c>
      <c r="AE37" s="90">
        <f t="shared" ref="AE37" si="237">SUM(AE33:AE36)</f>
        <v>14300534.456244856</v>
      </c>
      <c r="AF37" s="90">
        <f t="shared" ref="AF37" si="238">SUM(AF33:AF36)</f>
        <v>6814589.1844455842</v>
      </c>
      <c r="AG37" s="90">
        <f t="shared" si="147"/>
        <v>26205551.766314141</v>
      </c>
      <c r="AH37" s="241"/>
      <c r="AI37" s="183"/>
      <c r="AJ37" s="3"/>
      <c r="AK37" s="183"/>
      <c r="AL37" s="183"/>
      <c r="AM37" s="221">
        <f>SUM(AM33:AM36)</f>
        <v>5480269.3705319986</v>
      </c>
      <c r="AN37" s="90">
        <f t="shared" ref="AN37" si="239">SUM(AN33:AN36)</f>
        <v>15476884.436671147</v>
      </c>
      <c r="AO37" s="90">
        <f t="shared" ref="AO37" si="240">SUM(AO33:AO36)</f>
        <v>7065425.3587640729</v>
      </c>
      <c r="AP37" s="90">
        <f t="shared" si="212"/>
        <v>28022579.165967219</v>
      </c>
      <c r="AQ37" s="241"/>
      <c r="AR37" s="183"/>
      <c r="AS37" s="3"/>
      <c r="AT37" s="183"/>
      <c r="AU37" s="183"/>
      <c r="AV37" s="90">
        <f>SUM(AV33:AV36)</f>
        <v>5767350.5805873396</v>
      </c>
      <c r="AW37" s="90">
        <f t="shared" ref="AW37" si="241">SUM(AW33:AW36)</f>
        <v>16320476.825071178</v>
      </c>
      <c r="AX37" s="90">
        <f t="shared" ref="AX37" si="242">SUM(AX33:AX36)</f>
        <v>7310511.0844448572</v>
      </c>
      <c r="AY37" s="90">
        <f t="shared" si="151"/>
        <v>29398338.490103375</v>
      </c>
      <c r="AZ37" s="183"/>
      <c r="BA37" s="183"/>
      <c r="BB37" s="3"/>
      <c r="BC37" s="183"/>
      <c r="BD37" s="183"/>
      <c r="BE37" s="221">
        <f>SUM(BE33:BE36)</f>
        <v>5933121.9297519326</v>
      </c>
      <c r="BF37" s="90">
        <f t="shared" ref="BF37" si="243">SUM(BF33:BF36)</f>
        <v>16772551.893323939</v>
      </c>
      <c r="BG37" s="90">
        <f t="shared" ref="BG37" si="244">SUM(BG33:BG36)</f>
        <v>7564720.1019368842</v>
      </c>
      <c r="BH37" s="90">
        <f t="shared" si="153"/>
        <v>30270393.925012756</v>
      </c>
      <c r="BI37" s="241"/>
      <c r="BJ37" s="183"/>
      <c r="BK37" s="3"/>
      <c r="BL37" s="183"/>
      <c r="BM37" s="183"/>
      <c r="BN37" s="221">
        <f>SUM(BN33:BN36)</f>
        <v>6304498.2140447125</v>
      </c>
      <c r="BO37" s="90">
        <f t="shared" ref="BO37" si="245">SUM(BO33:BO36)</f>
        <v>17862212.043067068</v>
      </c>
      <c r="BP37" s="90">
        <f t="shared" ref="BP37" si="246">SUM(BP33:BP36)</f>
        <v>7909755.5223134467</v>
      </c>
      <c r="BQ37" s="90">
        <f t="shared" si="155"/>
        <v>32076465.779425226</v>
      </c>
      <c r="BR37" s="241"/>
      <c r="BS37" s="183"/>
      <c r="BT37" s="3"/>
      <c r="BU37" s="183"/>
      <c r="BV37" s="183"/>
      <c r="BW37" s="221">
        <f>SUM(BW33:BW36)</f>
        <v>6839632.3773812316</v>
      </c>
      <c r="BX37" s="90">
        <f t="shared" ref="BX37" si="247">SUM(BX33:BX36)</f>
        <v>19470497.825209789</v>
      </c>
      <c r="BY37" s="90">
        <f t="shared" ref="BY37" si="248">SUM(BY33:BY36)</f>
        <v>8491763.6048860848</v>
      </c>
      <c r="BZ37" s="90">
        <f t="shared" si="157"/>
        <v>34801893.807477102</v>
      </c>
      <c r="CA37" s="241"/>
      <c r="CB37" s="183"/>
      <c r="CC37" s="3"/>
      <c r="CD37" s="183"/>
      <c r="CE37" s="183"/>
      <c r="CF37" s="221">
        <f>SUM(CF33:CF36)</f>
        <v>7237983.1431095302</v>
      </c>
      <c r="CG37" s="90">
        <f t="shared" ref="CG37" si="249">SUM(CG33:CG36)</f>
        <v>20655147.925901093</v>
      </c>
      <c r="CH37" s="90">
        <f t="shared" ref="CH37" si="250">SUM(CH33:CH36)</f>
        <v>8870638.569390431</v>
      </c>
      <c r="CI37" s="90">
        <f t="shared" si="159"/>
        <v>36763769.638401054</v>
      </c>
      <c r="CJ37" s="241"/>
      <c r="CK37" s="183"/>
      <c r="CL37" s="3"/>
      <c r="CM37" s="183"/>
      <c r="CN37" s="183"/>
      <c r="CO37" s="90">
        <f>SUM(CO33:CO36)</f>
        <v>7250761.2300882367</v>
      </c>
      <c r="CP37" s="90">
        <f t="shared" ref="CP37" si="251">SUM(CP33:CP36)</f>
        <v>20691085.210382238</v>
      </c>
      <c r="CQ37" s="90">
        <f t="shared" ref="CQ37" si="252">SUM(CQ33:CQ36)</f>
        <v>8781812.3927599657</v>
      </c>
      <c r="CR37" s="90">
        <f t="shared" si="161"/>
        <v>36723658.833230443</v>
      </c>
      <c r="CS37" s="183"/>
      <c r="CT37" s="183"/>
      <c r="CU37" s="3"/>
      <c r="CV37" s="183"/>
      <c r="CW37" s="183"/>
      <c r="CX37" s="221">
        <f>SUM(CX33:CX36)</f>
        <v>7685426.6269103531</v>
      </c>
      <c r="CY37" s="90">
        <f t="shared" ref="CY37:CZ37" si="253">SUM(CY33:CY36)</f>
        <v>21969707.229949087</v>
      </c>
      <c r="CZ37" s="90">
        <f t="shared" si="253"/>
        <v>9257322.8109212909</v>
      </c>
      <c r="DA37" s="90">
        <f t="shared" si="163"/>
        <v>38912456.667780727</v>
      </c>
      <c r="DB37" s="241"/>
      <c r="DC37" s="183"/>
      <c r="DD37" s="3"/>
      <c r="DE37" s="183"/>
      <c r="DF37" s="183"/>
      <c r="DG37" s="221">
        <f>SUM(DG33:DG36)</f>
        <v>7986899.7394220261</v>
      </c>
      <c r="DH37" s="90">
        <f t="shared" ref="DH37:DI37" si="254">SUM(DH33:DH36)</f>
        <v>22861017.067870919</v>
      </c>
      <c r="DI37" s="90">
        <f t="shared" si="254"/>
        <v>9541371.2669660132</v>
      </c>
      <c r="DJ37" s="90">
        <f t="shared" si="165"/>
        <v>40389288.074258961</v>
      </c>
      <c r="DK37" s="241"/>
      <c r="DL37" s="183"/>
      <c r="DM37" s="3"/>
      <c r="DN37" s="183"/>
      <c r="DO37" s="183"/>
      <c r="DP37" s="221">
        <f>SUM(DP33:DP36)</f>
        <v>8288372.851933701</v>
      </c>
      <c r="DQ37" s="90">
        <f t="shared" ref="DQ37:DR37" si="255">SUM(DQ33:DQ36)</f>
        <v>23752326.905792762</v>
      </c>
      <c r="DR37" s="90">
        <f t="shared" si="255"/>
        <v>9825419.7230107374</v>
      </c>
      <c r="DS37" s="90">
        <f t="shared" si="167"/>
        <v>41866119.480737194</v>
      </c>
      <c r="DT37" s="241"/>
      <c r="DU37" s="183"/>
      <c r="DV37" s="3"/>
      <c r="DW37" s="183"/>
      <c r="DX37" s="183"/>
      <c r="DY37" s="221">
        <f>SUM(DY33:DY36)</f>
        <v>8589845.9644453935</v>
      </c>
      <c r="DZ37" s="90">
        <f t="shared" ref="DZ37:EA37" si="256">SUM(DZ33:DZ36)</f>
        <v>24643636.743714657</v>
      </c>
      <c r="EA37" s="90">
        <f t="shared" si="256"/>
        <v>10109468.179055465</v>
      </c>
      <c r="EB37" s="90">
        <f t="shared" si="169"/>
        <v>43342950.887215517</v>
      </c>
      <c r="EC37" s="241"/>
      <c r="ED37" s="183"/>
      <c r="EE37" s="3"/>
      <c r="EF37" s="183"/>
      <c r="EG37" s="183"/>
      <c r="EH37" s="221">
        <f>SUM(EH33:EH36)</f>
        <v>8891319.0769570861</v>
      </c>
      <c r="EI37" s="90">
        <f t="shared" ref="EI37:EJ37" si="257">SUM(EI33:EI36)</f>
        <v>25534946.581636526</v>
      </c>
      <c r="EJ37" s="90">
        <f t="shared" si="257"/>
        <v>10393516.635100257</v>
      </c>
      <c r="EK37" s="90">
        <f t="shared" si="171"/>
        <v>44819782.29369387</v>
      </c>
      <c r="EL37" s="241"/>
      <c r="EM37" s="183"/>
      <c r="EN37" s="3"/>
      <c r="EO37" s="183"/>
      <c r="EP37" s="183"/>
    </row>
    <row r="38" spans="2:146" x14ac:dyDescent="0.35">
      <c r="B38" t="str">
        <f t="shared" si="138"/>
        <v>Kibocsátás alapáron</v>
      </c>
      <c r="C38" s="90">
        <f>K26</f>
        <v>10093108.146505527</v>
      </c>
      <c r="D38" s="90">
        <f>K27</f>
        <v>41118691.725920096</v>
      </c>
      <c r="E38" s="90">
        <f>K28</f>
        <v>10914156.477087112</v>
      </c>
      <c r="F38" s="90">
        <f t="shared" si="141"/>
        <v>62125956.349512734</v>
      </c>
      <c r="I38" s="3"/>
      <c r="L38" s="221">
        <f>T26</f>
        <v>10450250.497832499</v>
      </c>
      <c r="M38" s="90">
        <f>T27</f>
        <v>42622860.868872218</v>
      </c>
      <c r="N38" s="90">
        <f>T28</f>
        <v>11024444.214383319</v>
      </c>
      <c r="O38" s="90">
        <f t="shared" si="143"/>
        <v>64097555.581088036</v>
      </c>
      <c r="Q38" s="183"/>
      <c r="R38" s="3"/>
      <c r="U38" s="221">
        <f>AC26</f>
        <v>10223965.464807305</v>
      </c>
      <c r="V38" s="90">
        <f>AC27</f>
        <v>41631389.926721856</v>
      </c>
      <c r="W38" s="90">
        <f>AC28</f>
        <v>10799241.710141117</v>
      </c>
      <c r="X38" s="90">
        <f t="shared" si="145"/>
        <v>62654597.101670273</v>
      </c>
      <c r="Y38" s="183"/>
      <c r="Z38" s="183"/>
      <c r="AA38" s="3"/>
      <c r="AB38" s="183"/>
      <c r="AC38" s="183"/>
      <c r="AD38" s="221">
        <f>AL26</f>
        <v>9857401.4140849058</v>
      </c>
      <c r="AE38" s="90">
        <f>AL27</f>
        <v>40559018.536741287</v>
      </c>
      <c r="AF38" s="90">
        <f>AL28</f>
        <v>11305394.917056803</v>
      </c>
      <c r="AG38" s="90">
        <f t="shared" si="147"/>
        <v>61721814.867882997</v>
      </c>
      <c r="AH38" s="183"/>
      <c r="AI38" s="183"/>
      <c r="AJ38" s="3"/>
      <c r="AK38" s="183"/>
      <c r="AL38" s="183"/>
      <c r="AM38" s="221">
        <f>AU26</f>
        <v>10612312.699342828</v>
      </c>
      <c r="AN38" s="90">
        <f>AU27</f>
        <v>43895369.412842296</v>
      </c>
      <c r="AO38" s="90">
        <f>AU28</f>
        <v>11721531.815907137</v>
      </c>
      <c r="AP38" s="90">
        <f t="shared" si="212"/>
        <v>66229213.928092256</v>
      </c>
      <c r="AQ38" s="183"/>
      <c r="AR38" s="183"/>
      <c r="AS38" s="3"/>
      <c r="AT38" s="183"/>
      <c r="AU38" s="183"/>
      <c r="AV38" s="90">
        <f>BD26</f>
        <v>11168233.469879197</v>
      </c>
      <c r="AW38" s="90">
        <f>BD27</f>
        <v>46287956.866357312</v>
      </c>
      <c r="AX38" s="90">
        <f>BD28</f>
        <v>12128128.727673896</v>
      </c>
      <c r="AY38" s="90">
        <f t="shared" si="151"/>
        <v>69584319.063910395</v>
      </c>
      <c r="AZ38" s="183"/>
      <c r="BA38" s="183"/>
      <c r="BB38" s="3"/>
      <c r="BC38" s="183"/>
      <c r="BD38" s="183"/>
      <c r="BE38" s="221">
        <f>BM26</f>
        <v>11489242.762485525</v>
      </c>
      <c r="BF38" s="90">
        <f>BM27</f>
        <v>47570127.202673331</v>
      </c>
      <c r="BG38" s="90">
        <f>BM28</f>
        <v>12549861.169122335</v>
      </c>
      <c r="BH38" s="90">
        <f t="shared" si="153"/>
        <v>71609231.134281188</v>
      </c>
      <c r="BI38" s="183"/>
      <c r="BJ38" s="183"/>
      <c r="BK38" s="3"/>
      <c r="BL38" s="183"/>
      <c r="BM38" s="183"/>
      <c r="BN38" s="221">
        <f>BV26</f>
        <v>12208397.422879972</v>
      </c>
      <c r="BO38" s="90">
        <f>BV27</f>
        <v>50660609.334470883</v>
      </c>
      <c r="BP38" s="90">
        <f>BV28</f>
        <v>13122274.499133967</v>
      </c>
      <c r="BQ38" s="90">
        <f t="shared" si="155"/>
        <v>75991281.256484821</v>
      </c>
      <c r="BR38" s="183"/>
      <c r="BS38" s="183"/>
      <c r="BT38" s="3"/>
      <c r="BU38" s="183"/>
      <c r="BV38" s="183"/>
      <c r="BW38" s="221">
        <f>CE26</f>
        <v>12823713.789089313</v>
      </c>
      <c r="BX38" s="90">
        <f>CE27</f>
        <v>54071226.275427103</v>
      </c>
      <c r="BY38" s="90">
        <f>CE28</f>
        <v>13932415.240928607</v>
      </c>
      <c r="BZ38" s="90">
        <f t="shared" si="157"/>
        <v>80827355.30544503</v>
      </c>
      <c r="CA38" s="183"/>
      <c r="CB38" s="183"/>
      <c r="CC38" s="3"/>
      <c r="CD38" s="183"/>
      <c r="CE38" s="183"/>
      <c r="CF38" s="221">
        <f>CN26</f>
        <v>13570586.709373394</v>
      </c>
      <c r="CG38" s="90">
        <f>CN27</f>
        <v>57361100.22866264</v>
      </c>
      <c r="CH38" s="90">
        <f>CN28</f>
        <v>14554034.444603726</v>
      </c>
      <c r="CI38" s="90">
        <f t="shared" si="159"/>
        <v>85485721.382639766</v>
      </c>
      <c r="CJ38" s="183"/>
      <c r="CK38" s="183"/>
      <c r="CL38" s="3"/>
      <c r="CM38" s="183"/>
      <c r="CN38" s="183"/>
      <c r="CO38" s="90">
        <f>CW26</f>
        <v>13594544.507270385</v>
      </c>
      <c r="CP38" s="90">
        <f>CW27</f>
        <v>57460901.120162621</v>
      </c>
      <c r="CQ38" s="90">
        <f>CW28</f>
        <v>14408297.559468623</v>
      </c>
      <c r="CR38" s="90">
        <f t="shared" si="161"/>
        <v>85463743.186901629</v>
      </c>
      <c r="CS38" s="183"/>
      <c r="CT38" s="183"/>
      <c r="CU38" s="3"/>
      <c r="CV38" s="183"/>
      <c r="CW38" s="183"/>
      <c r="CX38" s="221">
        <f>DF26</f>
        <v>14409504.191551244</v>
      </c>
      <c r="CY38" s="90">
        <f>DF27</f>
        <v>61011743.074045628</v>
      </c>
      <c r="CZ38" s="90">
        <f>DF28</f>
        <v>15188466.309502976</v>
      </c>
      <c r="DA38" s="90">
        <f t="shared" si="163"/>
        <v>90609713.575099841</v>
      </c>
      <c r="DB38" s="183"/>
      <c r="DC38" s="183"/>
      <c r="DD38" s="3"/>
      <c r="DE38" s="183"/>
      <c r="DF38" s="183"/>
      <c r="DG38" s="221">
        <f>DO26</f>
        <v>14974739.966903813</v>
      </c>
      <c r="DH38" s="90">
        <f>DO27</f>
        <v>63486986.201388024</v>
      </c>
      <c r="DI38" s="90">
        <f>DO28</f>
        <v>15654503.898665566</v>
      </c>
      <c r="DJ38" s="90">
        <f t="shared" si="165"/>
        <v>94116230.066957399</v>
      </c>
      <c r="DK38" s="183"/>
      <c r="DL38" s="183"/>
      <c r="DM38" s="3"/>
      <c r="DN38" s="183"/>
      <c r="DO38" s="183"/>
      <c r="DP38" s="221">
        <f>DX26</f>
        <v>15539975.742256384</v>
      </c>
      <c r="DQ38" s="90">
        <f>DX27</f>
        <v>65962229.328730449</v>
      </c>
      <c r="DR38" s="90">
        <f>DX28</f>
        <v>16120541.487828158</v>
      </c>
      <c r="DS38" s="90">
        <f t="shared" si="167"/>
        <v>97622746.558815002</v>
      </c>
      <c r="DT38" s="183"/>
      <c r="DU38" s="183"/>
      <c r="DV38" s="3"/>
      <c r="DW38" s="183"/>
      <c r="DX38" s="183"/>
      <c r="DY38" s="221">
        <f>EG26</f>
        <v>16105211.517608993</v>
      </c>
      <c r="DZ38" s="90">
        <f>EG27</f>
        <v>68437472.456073031</v>
      </c>
      <c r="EA38" s="90">
        <f>EG28</f>
        <v>16586579.076990757</v>
      </c>
      <c r="EB38" s="90">
        <f t="shared" si="169"/>
        <v>101129263.05067277</v>
      </c>
      <c r="EC38" s="183"/>
      <c r="ED38" s="183"/>
      <c r="EE38" s="3"/>
      <c r="EF38" s="183"/>
      <c r="EG38" s="183"/>
      <c r="EH38" s="221">
        <f>EP26</f>
        <v>16670447.292961597</v>
      </c>
      <c r="EI38" s="90">
        <f>EP27</f>
        <v>70912715.583415523</v>
      </c>
      <c r="EJ38" s="90">
        <f>EP28</f>
        <v>17052616.666153457</v>
      </c>
      <c r="EK38" s="90">
        <f t="shared" si="171"/>
        <v>104635779.54253058</v>
      </c>
      <c r="EL38" s="183"/>
      <c r="EM38" s="183"/>
      <c r="EN38" s="3"/>
      <c r="EO38" s="183"/>
      <c r="EP38" s="183"/>
    </row>
    <row r="39" spans="2:146" x14ac:dyDescent="0.35">
      <c r="L39" s="10"/>
      <c r="U39" s="10"/>
      <c r="AD39" s="10"/>
      <c r="AM39" s="10"/>
      <c r="AV39" s="10"/>
      <c r="BE39" s="10"/>
      <c r="BN39" s="10"/>
      <c r="BW39" s="10"/>
      <c r="CF39" s="10"/>
      <c r="CO39" s="10"/>
      <c r="CX39" s="10"/>
      <c r="DG39" s="10"/>
      <c r="DP39" s="10"/>
      <c r="DY39" s="10"/>
      <c r="EH39" s="10"/>
      <c r="EL39" s="3"/>
    </row>
    <row r="40" spans="2:146" x14ac:dyDescent="0.35">
      <c r="B40" t="s">
        <v>83</v>
      </c>
      <c r="C40" s="5">
        <f>SUM(C26:C28)-C29</f>
        <v>0</v>
      </c>
      <c r="D40" s="6">
        <f>SUM(D26:D28)-D29</f>
        <v>0</v>
      </c>
      <c r="E40" s="6">
        <f>SUM(E26:E28)-E29</f>
        <v>0</v>
      </c>
      <c r="F40" s="6">
        <f>SUM(F26:F28)-F29</f>
        <v>0</v>
      </c>
      <c r="L40" s="5">
        <f>SUM(L26:L28)-L29</f>
        <v>0</v>
      </c>
      <c r="M40" s="6">
        <f>SUM(M26:M28)-M29</f>
        <v>0</v>
      </c>
      <c r="N40" s="6">
        <f>SUM(N26:N28)-N29</f>
        <v>0</v>
      </c>
      <c r="O40" s="6">
        <f>SUM(O26:O28)-O29</f>
        <v>0</v>
      </c>
      <c r="U40" s="5">
        <f>SUM(U26:U28)-U29</f>
        <v>0</v>
      </c>
      <c r="V40" s="6">
        <f>SUM(V26:V28)-V29</f>
        <v>0</v>
      </c>
      <c r="W40" s="6">
        <f>SUM(W26:W28)-W29</f>
        <v>0</v>
      </c>
      <c r="X40" s="6">
        <f>SUM(X26:X28)-X29</f>
        <v>0</v>
      </c>
      <c r="AD40" s="5">
        <f>SUM(AD26:AD28)-AD29</f>
        <v>0</v>
      </c>
      <c r="AE40" s="6">
        <f>SUM(AE26:AE28)-AE29</f>
        <v>0</v>
      </c>
      <c r="AF40" s="6">
        <f>SUM(AF26:AF28)-AF29</f>
        <v>0</v>
      </c>
      <c r="AG40" s="6">
        <f>SUM(AG26:AG28)-AG29</f>
        <v>0</v>
      </c>
      <c r="AM40" s="5">
        <f>SUM(AM26:AM28)-AM29</f>
        <v>0</v>
      </c>
      <c r="AN40" s="6">
        <f>SUM(AN26:AN28)-AN29</f>
        <v>0</v>
      </c>
      <c r="AO40" s="6">
        <f>SUM(AO26:AO28)-AO29</f>
        <v>0</v>
      </c>
      <c r="AP40" s="6">
        <f>SUM(AP26:AP28)-AP29</f>
        <v>0</v>
      </c>
      <c r="AV40" s="5">
        <f>SUM(AV26:AV28)-AV29</f>
        <v>0</v>
      </c>
      <c r="AW40" s="6">
        <f>SUM(AW26:AW28)-AW29</f>
        <v>0</v>
      </c>
      <c r="AX40" s="6">
        <f>SUM(AX26:AX28)-AX29</f>
        <v>0</v>
      </c>
      <c r="AY40" s="6">
        <f>SUM(AY26:AY28)-AY29</f>
        <v>0</v>
      </c>
      <c r="BE40" s="5">
        <f>SUM(BE26:BE28)-BE29</f>
        <v>0</v>
      </c>
      <c r="BF40" s="6">
        <f>SUM(BF26:BF28)-BF29</f>
        <v>0</v>
      </c>
      <c r="BG40" s="6">
        <f>SUM(BG26:BG28)-BG29</f>
        <v>0</v>
      </c>
      <c r="BH40" s="6">
        <f>SUM(BH26:BH28)-BH29</f>
        <v>0</v>
      </c>
      <c r="BN40" s="5">
        <f>SUM(BN26:BN28)-BN29</f>
        <v>0</v>
      </c>
      <c r="BO40" s="6">
        <f>SUM(BO26:BO28)-BO29</f>
        <v>0</v>
      </c>
      <c r="BP40" s="6">
        <f>SUM(BP26:BP28)-BP29</f>
        <v>0</v>
      </c>
      <c r="BQ40" s="6">
        <f>SUM(BQ26:BQ28)-BQ29</f>
        <v>0</v>
      </c>
      <c r="BW40" s="5">
        <f>SUM(BW26:BW28)-BW29</f>
        <v>0</v>
      </c>
      <c r="BX40" s="6">
        <f>SUM(BX26:BX28)-BX29</f>
        <v>0</v>
      </c>
      <c r="BY40" s="6">
        <f>SUM(BY26:BY28)-BY29</f>
        <v>0</v>
      </c>
      <c r="BZ40" s="6">
        <f>SUM(BZ26:BZ28)-BZ29</f>
        <v>0</v>
      </c>
      <c r="CF40" s="5">
        <f>SUM(CF26:CF28)-CF29</f>
        <v>0</v>
      </c>
      <c r="CG40" s="6">
        <f>SUM(CG26:CG28)-CG29</f>
        <v>0</v>
      </c>
      <c r="CH40" s="6">
        <f>SUM(CH26:CH28)-CH29</f>
        <v>0</v>
      </c>
      <c r="CI40" s="6">
        <f>SUM(CI26:CI28)-CI29</f>
        <v>0</v>
      </c>
      <c r="CO40" s="5">
        <f>SUM(CO26:CO28)-CO29</f>
        <v>0</v>
      </c>
      <c r="CP40" s="6">
        <f>SUM(CP26:CP28)-CP29</f>
        <v>0</v>
      </c>
      <c r="CQ40" s="6">
        <f>SUM(CQ26:CQ28)-CQ29</f>
        <v>0</v>
      </c>
      <c r="CR40" s="6">
        <f>SUM(CR26:CR28)-CR29</f>
        <v>0</v>
      </c>
      <c r="CX40" s="5">
        <f>SUM(CX26:CX28)-CX29</f>
        <v>0</v>
      </c>
      <c r="CY40" s="6">
        <f>SUM(CY26:CY28)-CY29</f>
        <v>0</v>
      </c>
      <c r="CZ40" s="6">
        <f>SUM(CZ26:CZ28)-CZ29</f>
        <v>0</v>
      </c>
      <c r="DA40" s="6">
        <f>SUM(DA26:DA28)-DA29</f>
        <v>0</v>
      </c>
      <c r="DG40" s="5">
        <f>SUM(DG26:DG28)-DG29</f>
        <v>0</v>
      </c>
      <c r="DH40" s="6">
        <f>SUM(DH26:DH28)-DH29</f>
        <v>0</v>
      </c>
      <c r="DI40" s="6">
        <f>SUM(DI26:DI28)-DI29</f>
        <v>0</v>
      </c>
      <c r="DJ40" s="6">
        <f>SUM(DJ26:DJ28)-DJ29</f>
        <v>0</v>
      </c>
      <c r="DP40" s="5">
        <f>SUM(DP26:DP28)-DP29</f>
        <v>0</v>
      </c>
      <c r="DQ40" s="6">
        <f>SUM(DQ26:DQ28)-DQ29</f>
        <v>0</v>
      </c>
      <c r="DR40" s="6">
        <f>SUM(DR26:DR28)-DR29</f>
        <v>0</v>
      </c>
      <c r="DS40" s="6">
        <f>SUM(DS26:DS28)-DS29</f>
        <v>0</v>
      </c>
      <c r="DY40" s="5">
        <f>SUM(DY26:DY28)-DY29</f>
        <v>0</v>
      </c>
      <c r="DZ40" s="6">
        <f>SUM(DZ26:DZ28)-DZ29</f>
        <v>0</v>
      </c>
      <c r="EA40" s="6">
        <f>SUM(EA26:EA28)-EA29</f>
        <v>0</v>
      </c>
      <c r="EB40" s="6">
        <f>SUM(EB26:EB28)-EB29</f>
        <v>0</v>
      </c>
      <c r="EH40" s="5">
        <f>SUM(EH26:EH28)-EH29</f>
        <v>0</v>
      </c>
      <c r="EI40" s="6">
        <f>SUM(EI26:EI28)-EI29</f>
        <v>0</v>
      </c>
      <c r="EJ40" s="6">
        <f>SUM(EJ26:EJ28)-EJ29</f>
        <v>0</v>
      </c>
      <c r="EK40" s="6">
        <f>SUM(EK26:EK28)-EK29</f>
        <v>0</v>
      </c>
    </row>
    <row r="41" spans="2:146" x14ac:dyDescent="0.35">
      <c r="B41" t="s">
        <v>86</v>
      </c>
      <c r="C41" s="5">
        <f>C29+C30+C31-C32</f>
        <v>0</v>
      </c>
      <c r="D41" s="6">
        <f>D29+D30+D31-D32</f>
        <v>0</v>
      </c>
      <c r="E41" s="6">
        <f>E29+E30+E31-E32</f>
        <v>0</v>
      </c>
      <c r="F41" s="6">
        <f>F29+F30+F31-F32</f>
        <v>0</v>
      </c>
      <c r="L41" s="5">
        <f>L29+L30+L31-L32</f>
        <v>0</v>
      </c>
      <c r="M41" s="6">
        <f>M29+M30+M31-M32</f>
        <v>0</v>
      </c>
      <c r="N41" s="6">
        <f>N29+N30+N31-N32</f>
        <v>0</v>
      </c>
      <c r="O41" s="6">
        <f>O29+O30+O31-O32</f>
        <v>0</v>
      </c>
      <c r="U41" s="5">
        <f>U29+U30+U31-U32</f>
        <v>0</v>
      </c>
      <c r="V41" s="6">
        <f>V29+V30+V31-V32</f>
        <v>0</v>
      </c>
      <c r="W41" s="6">
        <f>W29+W30+W31-W32</f>
        <v>0</v>
      </c>
      <c r="X41" s="6">
        <f>X29+X30+X31-X32</f>
        <v>0</v>
      </c>
      <c r="AD41" s="5">
        <f>AD29+AD30+AD31-AD32</f>
        <v>0</v>
      </c>
      <c r="AE41" s="6">
        <f>AE29+AE30+AE31-AE32</f>
        <v>0</v>
      </c>
      <c r="AF41" s="6">
        <f>AF29+AF30+AF31-AF32</f>
        <v>0</v>
      </c>
      <c r="AG41" s="6">
        <f>AG29+AG30+AG31-AG32</f>
        <v>0</v>
      </c>
      <c r="AM41" s="5">
        <f>AM29+AM30+AM31-AM32</f>
        <v>0</v>
      </c>
      <c r="AN41" s="6">
        <f>AN29+AN30+AN31-AN32</f>
        <v>0</v>
      </c>
      <c r="AO41" s="6">
        <f>AO29+AO30+AO31-AO32</f>
        <v>0</v>
      </c>
      <c r="AP41" s="6">
        <f>AP29+AP30+AP31-AP32</f>
        <v>0</v>
      </c>
      <c r="AV41" s="5">
        <f>AV29+AV30+AV31-AV32</f>
        <v>0</v>
      </c>
      <c r="AW41" s="6">
        <f>AW29+AW30+AW31-AW32</f>
        <v>0</v>
      </c>
      <c r="AX41" s="6">
        <f>AX29+AX30+AX31-AX32</f>
        <v>0</v>
      </c>
      <c r="AY41" s="6">
        <f>AY29+AY30+AY31-AY32</f>
        <v>0</v>
      </c>
      <c r="BE41" s="5">
        <f>BE29+BE30+BE31-BE32</f>
        <v>0</v>
      </c>
      <c r="BF41" s="6">
        <f>BF29+BF30+BF31-BF32</f>
        <v>0</v>
      </c>
      <c r="BG41" s="6">
        <f>BG29+BG30+BG31-BG32</f>
        <v>0</v>
      </c>
      <c r="BH41" s="6">
        <f>BH29+BH30+BH31-BH32</f>
        <v>0</v>
      </c>
      <c r="BN41" s="5">
        <f>BN29+BN30+BN31-BN32</f>
        <v>0</v>
      </c>
      <c r="BO41" s="6">
        <f>BO29+BO30+BO31-BO32</f>
        <v>0</v>
      </c>
      <c r="BP41" s="6">
        <f>BP29+BP30+BP31-BP32</f>
        <v>0</v>
      </c>
      <c r="BQ41" s="6">
        <f>BQ29+BQ30+BQ31-BQ32</f>
        <v>0</v>
      </c>
      <c r="BW41" s="5">
        <f>BW29+BW30+BW31-BW32</f>
        <v>0</v>
      </c>
      <c r="BX41" s="6">
        <f>BX29+BX30+BX31-BX32</f>
        <v>0</v>
      </c>
      <c r="BY41" s="6">
        <f>BY29+BY30+BY31-BY32</f>
        <v>0</v>
      </c>
      <c r="BZ41" s="6">
        <f>BZ29+BZ30+BZ31-BZ32</f>
        <v>0</v>
      </c>
      <c r="CF41" s="5">
        <f>CF29+CF30+CF31-CF32</f>
        <v>0</v>
      </c>
      <c r="CG41" s="6">
        <f>CG29+CG30+CG31-CG32</f>
        <v>0</v>
      </c>
      <c r="CH41" s="6">
        <f>CH29+CH30+CH31-CH32</f>
        <v>0</v>
      </c>
      <c r="CI41" s="6">
        <f>CI29+CI30+CI31-CI32</f>
        <v>0</v>
      </c>
      <c r="CO41" s="5">
        <f>CO29+CO30+CO31-CO32</f>
        <v>0</v>
      </c>
      <c r="CP41" s="6">
        <f>CP29+CP30+CP31-CP32</f>
        <v>0</v>
      </c>
      <c r="CQ41" s="6">
        <f>CQ29+CQ30+CQ31-CQ32</f>
        <v>0</v>
      </c>
      <c r="CR41" s="6">
        <f>CR29+CR30+CR31-CR32</f>
        <v>0</v>
      </c>
      <c r="CX41" s="5">
        <f>CX29+CX30+CX31-CX32</f>
        <v>0</v>
      </c>
      <c r="CY41" s="6">
        <f>CY29+CY30+CY31-CY32</f>
        <v>0</v>
      </c>
      <c r="CZ41" s="6">
        <f>CZ29+CZ30+CZ31-CZ32</f>
        <v>0</v>
      </c>
      <c r="DA41" s="6">
        <f>DA29+DA30+DA31-DA32</f>
        <v>0</v>
      </c>
      <c r="DG41" s="5">
        <f>DG29+DG30+DG31-DG32</f>
        <v>0</v>
      </c>
      <c r="DH41" s="6">
        <f>DH29+DH30+DH31-DH32</f>
        <v>0</v>
      </c>
      <c r="DI41" s="6">
        <f>DI29+DI30+DI31-DI32</f>
        <v>0</v>
      </c>
      <c r="DJ41" s="6">
        <f>DJ29+DJ30+DJ31-DJ32</f>
        <v>0</v>
      </c>
      <c r="DP41" s="5">
        <f>DP29+DP30+DP31-DP32</f>
        <v>0</v>
      </c>
      <c r="DQ41" s="6">
        <f>DQ29+DQ30+DQ31-DQ32</f>
        <v>0</v>
      </c>
      <c r="DR41" s="6">
        <f>DR29+DR30+DR31-DR32</f>
        <v>0</v>
      </c>
      <c r="DS41" s="6">
        <f>DS29+DS30+DS31-DS32</f>
        <v>0</v>
      </c>
      <c r="DY41" s="5">
        <f>DY29+DY30+DY31-DY32</f>
        <v>0</v>
      </c>
      <c r="DZ41" s="6">
        <f>DZ29+DZ30+DZ31-DZ32</f>
        <v>0</v>
      </c>
      <c r="EA41" s="6">
        <f>EA29+EA30+EA31-EA32</f>
        <v>0</v>
      </c>
      <c r="EB41" s="6">
        <f>EB29+EB30+EB31-EB32</f>
        <v>0</v>
      </c>
      <c r="EH41" s="5">
        <f>EH29+EH30+EH31-EH32</f>
        <v>0</v>
      </c>
      <c r="EI41" s="6">
        <f>EI29+EI30+EI31-EI32</f>
        <v>0</v>
      </c>
      <c r="EJ41" s="6">
        <f>EJ29+EJ30+EJ31-EJ32</f>
        <v>0</v>
      </c>
      <c r="EK41" s="6">
        <f>EK29+EK30+EK31-EK32</f>
        <v>0</v>
      </c>
    </row>
    <row r="42" spans="2:146" x14ac:dyDescent="0.35">
      <c r="B42" t="s">
        <v>84</v>
      </c>
      <c r="C42" s="5">
        <f>C33+C34+C35+C36-C37</f>
        <v>0</v>
      </c>
      <c r="D42" s="6">
        <f>D33+D34+D35+D36-D37</f>
        <v>0</v>
      </c>
      <c r="E42" s="6">
        <f>E33+E34+E35+E36-E37</f>
        <v>0</v>
      </c>
      <c r="F42" s="6">
        <f>F33+F34+F35+F36-F37</f>
        <v>0</v>
      </c>
      <c r="L42" s="5">
        <f>L33+L34+L35+L36-L37</f>
        <v>0</v>
      </c>
      <c r="M42" s="6">
        <f>M33+M34+M35+M36-M37</f>
        <v>0</v>
      </c>
      <c r="N42" s="6">
        <f>N33+N34+N35+N36-N37</f>
        <v>0</v>
      </c>
      <c r="O42" s="6">
        <f>O33+O34+O35+O36-O37</f>
        <v>0</v>
      </c>
      <c r="U42" s="5">
        <f>U33+U34+U35+U36-U37</f>
        <v>0</v>
      </c>
      <c r="V42" s="6">
        <f>V33+V34+V35+V36-V37</f>
        <v>0</v>
      </c>
      <c r="W42" s="6">
        <f>W33+W34+W35+W36-W37</f>
        <v>0</v>
      </c>
      <c r="X42" s="6">
        <f>X33+X34+X35+X36-X37</f>
        <v>0</v>
      </c>
      <c r="AD42" s="5">
        <f>AD33+AD34+AD35+AD36-AD37</f>
        <v>0</v>
      </c>
      <c r="AE42" s="6">
        <f>AE33+AE34+AE35+AE36-AE37</f>
        <v>0</v>
      </c>
      <c r="AF42" s="6">
        <f>AF33+AF34+AF35+AF36-AF37</f>
        <v>0</v>
      </c>
      <c r="AG42" s="6">
        <f>AG33+AG34+AG35+AG36-AG37</f>
        <v>0</v>
      </c>
      <c r="AM42" s="5">
        <f>AM33+AM34+AM35+AM36-AM37</f>
        <v>0</v>
      </c>
      <c r="AN42" s="6">
        <f>AN33+AN34+AN35+AN36-AN37</f>
        <v>0</v>
      </c>
      <c r="AO42" s="6">
        <f>AO33+AO34+AO35+AO36-AO37</f>
        <v>0</v>
      </c>
      <c r="AP42" s="6">
        <f>AP33+AP34+AP35+AP36-AP37</f>
        <v>0</v>
      </c>
      <c r="AV42" s="5">
        <f>AV33+AV34+AV35+AV36-AV37</f>
        <v>0</v>
      </c>
      <c r="AW42" s="6">
        <f>AW33+AW34+AW35+AW36-AW37</f>
        <v>0</v>
      </c>
      <c r="AX42" s="6">
        <f>AX33+AX34+AX35+AX36-AX37</f>
        <v>0</v>
      </c>
      <c r="AY42" s="6">
        <f>AY33+AY34+AY35+AY36-AY37</f>
        <v>0</v>
      </c>
      <c r="BE42" s="5">
        <f>BE33+BE34+BE35+BE36-BE37</f>
        <v>0</v>
      </c>
      <c r="BF42" s="6">
        <f>BF33+BF34+BF35+BF36-BF37</f>
        <v>0</v>
      </c>
      <c r="BG42" s="6">
        <f>BG33+BG34+BG35+BG36-BG37</f>
        <v>0</v>
      </c>
      <c r="BH42" s="6">
        <f>BH33+BH34+BH35+BH36-BH37</f>
        <v>0</v>
      </c>
      <c r="BN42" s="5">
        <f>BN33+BN34+BN35+BN36-BN37</f>
        <v>0</v>
      </c>
      <c r="BO42" s="6">
        <f>BO33+BO34+BO35+BO36-BO37</f>
        <v>0</v>
      </c>
      <c r="BP42" s="6">
        <f>BP33+BP34+BP35+BP36-BP37</f>
        <v>0</v>
      </c>
      <c r="BQ42" s="6">
        <f>BQ33+BQ34+BQ35+BQ36-BQ37</f>
        <v>0</v>
      </c>
      <c r="BW42" s="5">
        <f>BW33+BW34+BW35+BW36-BW37</f>
        <v>0</v>
      </c>
      <c r="BX42" s="6">
        <f>BX33+BX34+BX35+BX36-BX37</f>
        <v>0</v>
      </c>
      <c r="BY42" s="6">
        <f>BY33+BY34+BY35+BY36-BY37</f>
        <v>0</v>
      </c>
      <c r="BZ42" s="6">
        <f>BZ33+BZ34+BZ35+BZ36-BZ37</f>
        <v>0</v>
      </c>
      <c r="CF42" s="5">
        <f>CF33+CF34+CF35+CF36-CF37</f>
        <v>0</v>
      </c>
      <c r="CG42" s="6">
        <f>CG33+CG34+CG35+CG36-CG37</f>
        <v>0</v>
      </c>
      <c r="CH42" s="6">
        <f>CH33+CH34+CH35+CH36-CH37</f>
        <v>0</v>
      </c>
      <c r="CI42" s="6">
        <f>CI33+CI34+CI35+CI36-CI37</f>
        <v>0</v>
      </c>
      <c r="CO42" s="5">
        <f>CO33+CO34+CO35+CO36-CO37</f>
        <v>0</v>
      </c>
      <c r="CP42" s="6">
        <f>CP33+CP34+CP35+CP36-CP37</f>
        <v>0</v>
      </c>
      <c r="CQ42" s="6">
        <f>CQ33+CQ34+CQ35+CQ36-CQ37</f>
        <v>0</v>
      </c>
      <c r="CR42" s="6">
        <f>CR33+CR34+CR35+CR36-CR37</f>
        <v>0</v>
      </c>
      <c r="CX42" s="5">
        <f>CX33+CX34+CX35+CX36-CX37</f>
        <v>0</v>
      </c>
      <c r="CY42" s="6">
        <f>CY33+CY34+CY35+CY36-CY37</f>
        <v>0</v>
      </c>
      <c r="CZ42" s="6">
        <f>CZ33+CZ34+CZ35+CZ36-CZ37</f>
        <v>0</v>
      </c>
      <c r="DA42" s="6">
        <f>DA33+DA34+DA35+DA36-DA37</f>
        <v>0</v>
      </c>
      <c r="DG42" s="5">
        <f>DG33+DG34+DG35+DG36-DG37</f>
        <v>0</v>
      </c>
      <c r="DH42" s="6">
        <f>DH33+DH34+DH35+DH36-DH37</f>
        <v>0</v>
      </c>
      <c r="DI42" s="6">
        <f>DI33+DI34+DI35+DI36-DI37</f>
        <v>0</v>
      </c>
      <c r="DJ42" s="6">
        <f>DJ33+DJ34+DJ35+DJ36-DJ37</f>
        <v>0</v>
      </c>
      <c r="DP42" s="5">
        <f>DP33+DP34+DP35+DP36-DP37</f>
        <v>0</v>
      </c>
      <c r="DQ42" s="6">
        <f>DQ33+DQ34+DQ35+DQ36-DQ37</f>
        <v>0</v>
      </c>
      <c r="DR42" s="6">
        <f>DR33+DR34+DR35+DR36-DR37</f>
        <v>0</v>
      </c>
      <c r="DS42" s="6">
        <f>DS33+DS34+DS35+DS36-DS37</f>
        <v>0</v>
      </c>
      <c r="DY42" s="5">
        <f>DY33+DY34+DY35+DY36-DY37</f>
        <v>0</v>
      </c>
      <c r="DZ42" s="6">
        <f>DZ33+DZ34+DZ35+DZ36-DZ37</f>
        <v>0</v>
      </c>
      <c r="EA42" s="6">
        <f>EA33+EA34+EA35+EA36-EA37</f>
        <v>0</v>
      </c>
      <c r="EB42" s="6">
        <f>EB33+EB34+EB35+EB36-EB37</f>
        <v>0</v>
      </c>
      <c r="EH42" s="5">
        <f>EH33+EH34+EH35+EH36-EH37</f>
        <v>0</v>
      </c>
      <c r="EI42" s="6">
        <f>EI33+EI34+EI35+EI36-EI37</f>
        <v>0</v>
      </c>
      <c r="EJ42" s="6">
        <f>EJ33+EJ34+EJ35+EJ36-EJ37</f>
        <v>0</v>
      </c>
      <c r="EK42" s="6">
        <f>EK33+EK34+EK35+EK36-EK37</f>
        <v>0</v>
      </c>
    </row>
    <row r="43" spans="2:146" x14ac:dyDescent="0.35">
      <c r="B43" t="s">
        <v>85</v>
      </c>
      <c r="C43" s="5">
        <f>C32+C37-C38</f>
        <v>0</v>
      </c>
      <c r="D43" s="6">
        <f t="shared" ref="D43:F43" si="258">D32+D37-D38</f>
        <v>0</v>
      </c>
      <c r="E43" s="6">
        <f t="shared" si="258"/>
        <v>0</v>
      </c>
      <c r="F43" s="6">
        <f t="shared" si="258"/>
        <v>0</v>
      </c>
      <c r="L43" s="5">
        <f>L32+L37-L38</f>
        <v>0</v>
      </c>
      <c r="M43" s="6">
        <f t="shared" ref="M43:O43" si="259">M32+M37-M38</f>
        <v>0</v>
      </c>
      <c r="N43" s="6">
        <f t="shared" si="259"/>
        <v>0</v>
      </c>
      <c r="O43" s="6">
        <f t="shared" si="259"/>
        <v>0</v>
      </c>
      <c r="U43" s="5">
        <f>U32+U37-U38</f>
        <v>0</v>
      </c>
      <c r="V43" s="6">
        <f t="shared" ref="V43:X43" si="260">V32+V37-V38</f>
        <v>0</v>
      </c>
      <c r="W43" s="6">
        <f t="shared" si="260"/>
        <v>0</v>
      </c>
      <c r="X43" s="6">
        <f t="shared" si="260"/>
        <v>0</v>
      </c>
      <c r="AD43" s="5">
        <f>AD32+AD37-AD38</f>
        <v>0</v>
      </c>
      <c r="AE43" s="6">
        <f t="shared" ref="AE43:AG43" si="261">AE32+AE37-AE38</f>
        <v>0</v>
      </c>
      <c r="AF43" s="6">
        <f t="shared" si="261"/>
        <v>0</v>
      </c>
      <c r="AG43" s="6">
        <f t="shared" si="261"/>
        <v>0</v>
      </c>
      <c r="AM43" s="5">
        <f>AM32+AM37-AM38</f>
        <v>0</v>
      </c>
      <c r="AN43" s="6">
        <f t="shared" ref="AN43:AP43" si="262">AN32+AN37-AN38</f>
        <v>0</v>
      </c>
      <c r="AO43" s="6">
        <f t="shared" si="262"/>
        <v>0</v>
      </c>
      <c r="AP43" s="6">
        <f t="shared" si="262"/>
        <v>0</v>
      </c>
      <c r="AV43" s="5">
        <f>AV32+AV37-AV38</f>
        <v>0</v>
      </c>
      <c r="AW43" s="6">
        <f t="shared" ref="AW43:AY43" si="263">AW32+AW37-AW38</f>
        <v>0</v>
      </c>
      <c r="AX43" s="6">
        <f t="shared" si="263"/>
        <v>0</v>
      </c>
      <c r="AY43" s="6">
        <f t="shared" si="263"/>
        <v>0</v>
      </c>
      <c r="BE43" s="5">
        <f>BE32+BE37-BE38</f>
        <v>0</v>
      </c>
      <c r="BF43" s="6">
        <f t="shared" ref="BF43:BH43" si="264">BF32+BF37-BF38</f>
        <v>0</v>
      </c>
      <c r="BG43" s="6">
        <f t="shared" si="264"/>
        <v>0</v>
      </c>
      <c r="BH43" s="6">
        <f t="shared" si="264"/>
        <v>0</v>
      </c>
      <c r="BN43" s="5">
        <f>BN32+BN37-BN38</f>
        <v>0</v>
      </c>
      <c r="BO43" s="6">
        <f t="shared" ref="BO43:BQ43" si="265">BO32+BO37-BO38</f>
        <v>0</v>
      </c>
      <c r="BP43" s="6">
        <f t="shared" si="265"/>
        <v>0</v>
      </c>
      <c r="BQ43" s="6">
        <f t="shared" si="265"/>
        <v>0</v>
      </c>
      <c r="BW43" s="5">
        <f>BW32+BW37-BW38</f>
        <v>0</v>
      </c>
      <c r="BX43" s="6">
        <f t="shared" ref="BX43:BZ43" si="266">BX32+BX37-BX38</f>
        <v>0</v>
      </c>
      <c r="BY43" s="6">
        <f t="shared" si="266"/>
        <v>0</v>
      </c>
      <c r="BZ43" s="6">
        <f t="shared" si="266"/>
        <v>0</v>
      </c>
      <c r="CF43" s="5">
        <f>CF32+CF37-CF38</f>
        <v>0</v>
      </c>
      <c r="CG43" s="6">
        <f t="shared" ref="CG43:CI43" si="267">CG32+CG37-CG38</f>
        <v>0</v>
      </c>
      <c r="CH43" s="6">
        <f t="shared" si="267"/>
        <v>0</v>
      </c>
      <c r="CI43" s="6">
        <f t="shared" si="267"/>
        <v>0</v>
      </c>
      <c r="CO43" s="5">
        <f>CO32+CO37-CO38</f>
        <v>0</v>
      </c>
      <c r="CP43" s="6">
        <f t="shared" ref="CP43:CR43" si="268">CP32+CP37-CP38</f>
        <v>0</v>
      </c>
      <c r="CQ43" s="6">
        <f t="shared" si="268"/>
        <v>0</v>
      </c>
      <c r="CR43" s="6">
        <f t="shared" si="268"/>
        <v>0</v>
      </c>
      <c r="CX43" s="5">
        <f>CX32+CX37-CX38</f>
        <v>0</v>
      </c>
      <c r="CY43" s="6">
        <f t="shared" ref="CY43:DA43" si="269">CY32+CY37-CY38</f>
        <v>0</v>
      </c>
      <c r="CZ43" s="6">
        <f t="shared" si="269"/>
        <v>0</v>
      </c>
      <c r="DA43" s="6">
        <f t="shared" si="269"/>
        <v>0</v>
      </c>
      <c r="DG43" s="5">
        <f>DG32+DG37-DG38</f>
        <v>0</v>
      </c>
      <c r="DH43" s="6">
        <f t="shared" ref="DH43:DJ43" si="270">DH32+DH37-DH38</f>
        <v>0</v>
      </c>
      <c r="DI43" s="6">
        <f t="shared" si="270"/>
        <v>0</v>
      </c>
      <c r="DJ43" s="6">
        <f t="shared" si="270"/>
        <v>0</v>
      </c>
      <c r="DP43" s="5">
        <f>DP32+DP37-DP38</f>
        <v>0</v>
      </c>
      <c r="DQ43" s="6">
        <f t="shared" ref="DQ43:DS43" si="271">DQ32+DQ37-DQ38</f>
        <v>0</v>
      </c>
      <c r="DR43" s="6">
        <f t="shared" si="271"/>
        <v>0</v>
      </c>
      <c r="DS43" s="6">
        <f t="shared" si="271"/>
        <v>0</v>
      </c>
      <c r="DY43" s="5">
        <f>DY32+DY37-DY38</f>
        <v>0</v>
      </c>
      <c r="DZ43" s="6">
        <f t="shared" ref="DZ43:EB43" si="272">DZ32+DZ37-DZ38</f>
        <v>0</v>
      </c>
      <c r="EA43" s="6">
        <f t="shared" si="272"/>
        <v>0</v>
      </c>
      <c r="EB43" s="6">
        <f t="shared" si="272"/>
        <v>0</v>
      </c>
      <c r="EH43" s="5">
        <f>EH32+EH37-EH38</f>
        <v>0</v>
      </c>
      <c r="EI43" s="6">
        <f t="shared" ref="EI43:EK43" si="273">EI32+EI37-EI38</f>
        <v>0</v>
      </c>
      <c r="EJ43" s="6">
        <f t="shared" si="273"/>
        <v>0</v>
      </c>
      <c r="EK43" s="6">
        <f t="shared" si="273"/>
        <v>0</v>
      </c>
    </row>
    <row r="44" spans="2:146" x14ac:dyDescent="0.35">
      <c r="B44" t="s">
        <v>87</v>
      </c>
      <c r="C44" s="5">
        <f>SUM(C26:E26)-F26</f>
        <v>0</v>
      </c>
      <c r="D44" s="6">
        <f>SUM(C27:E27)-F27</f>
        <v>0</v>
      </c>
      <c r="E44" s="6">
        <f>SUM(C28:E28)-F28</f>
        <v>0</v>
      </c>
      <c r="F44" s="6">
        <f>SUM(C29:E29)-F29</f>
        <v>0</v>
      </c>
      <c r="G44" s="6">
        <f>SUM(C30:E30)-F30</f>
        <v>0</v>
      </c>
      <c r="H44" s="6">
        <f>SUM(C31:E31)-F31</f>
        <v>0</v>
      </c>
      <c r="I44" s="6">
        <f>SUM(C32:E32)-F32</f>
        <v>0</v>
      </c>
      <c r="L44" s="5">
        <f>SUM(L26:N26)-O26</f>
        <v>0</v>
      </c>
      <c r="M44" s="6">
        <f>SUM(L27:N27)-O27</f>
        <v>0</v>
      </c>
      <c r="N44" s="6">
        <f>SUM(L28:N28)-O28</f>
        <v>0</v>
      </c>
      <c r="O44" s="6">
        <f>SUM(L29:N29)-O29</f>
        <v>0</v>
      </c>
      <c r="P44" s="6">
        <f>SUM(L30:N30)-O30</f>
        <v>0</v>
      </c>
      <c r="Q44" s="6">
        <f>SUM(L31:N31)-O31</f>
        <v>0</v>
      </c>
      <c r="R44" s="6">
        <f>SUM(L32:N32)-O32</f>
        <v>0</v>
      </c>
      <c r="U44" s="5">
        <f>SUM(U26:W26)-X26</f>
        <v>0</v>
      </c>
      <c r="V44" s="6">
        <f>SUM(U27:W27)-X27</f>
        <v>0</v>
      </c>
      <c r="W44" s="6">
        <f>SUM(U28:W28)-X28</f>
        <v>0</v>
      </c>
      <c r="X44" s="6">
        <f>SUM(U29:W29)-X29</f>
        <v>0</v>
      </c>
      <c r="Y44" s="6">
        <f>SUM(U30:W30)-X30</f>
        <v>0</v>
      </c>
      <c r="Z44" s="6">
        <f>SUM(U31:W31)-X31</f>
        <v>0</v>
      </c>
      <c r="AA44" s="6">
        <f>SUM(U32:W32)-X32</f>
        <v>0</v>
      </c>
      <c r="AD44" s="5">
        <f>SUM(AD26:AF26)-AG26</f>
        <v>0</v>
      </c>
      <c r="AE44" s="6">
        <f>SUM(AD27:AF27)-AG27</f>
        <v>0</v>
      </c>
      <c r="AF44" s="6">
        <f>SUM(AD28:AF28)-AG28</f>
        <v>0</v>
      </c>
      <c r="AG44" s="6">
        <f>SUM(AD29:AF29)-AG29</f>
        <v>0</v>
      </c>
      <c r="AH44" s="6">
        <f>SUM(AD30:AF30)-AG30</f>
        <v>0</v>
      </c>
      <c r="AI44" s="6">
        <f>SUM(AD31:AF31)-AG31</f>
        <v>0</v>
      </c>
      <c r="AJ44" s="6">
        <f>SUM(AD32:AF32)-AG32</f>
        <v>0</v>
      </c>
      <c r="AM44" s="5">
        <f>SUM(AM26:AO26)-AP26</f>
        <v>0</v>
      </c>
      <c r="AN44" s="6">
        <f>SUM(AM27:AO27)-AP27</f>
        <v>0</v>
      </c>
      <c r="AO44" s="6">
        <f>SUM(AM28:AO28)-AP28</f>
        <v>0</v>
      </c>
      <c r="AP44" s="6">
        <f>SUM(AM29:AO29)-AP29</f>
        <v>0</v>
      </c>
      <c r="AQ44" s="6">
        <f>SUM(AM30:AO30)-AP30</f>
        <v>0</v>
      </c>
      <c r="AR44" s="6">
        <f>SUM(AM31:AO31)-AP31</f>
        <v>0</v>
      </c>
      <c r="AS44" s="6">
        <f>SUM(AM32:AO32)-AP32</f>
        <v>0</v>
      </c>
      <c r="AV44" s="5">
        <f>SUM(AV26:AX26)-AY26</f>
        <v>0</v>
      </c>
      <c r="AW44" s="6">
        <f>SUM(AV27:AX27)-AY27</f>
        <v>0</v>
      </c>
      <c r="AX44" s="6">
        <f>SUM(AV28:AX28)-AY28</f>
        <v>0</v>
      </c>
      <c r="AY44" s="6">
        <f>SUM(AV29:AX29)-AY29</f>
        <v>0</v>
      </c>
      <c r="AZ44" s="6">
        <f>SUM(AV30:AX30)-AY30</f>
        <v>0</v>
      </c>
      <c r="BA44" s="6">
        <f>SUM(AV31:AX31)-AY31</f>
        <v>0</v>
      </c>
      <c r="BB44" s="6">
        <f>SUM(AV32:AX32)-AY32</f>
        <v>0</v>
      </c>
      <c r="BE44" s="5">
        <f>SUM(BE26:BG26)-BH26</f>
        <v>0</v>
      </c>
      <c r="BF44" s="6">
        <f>SUM(BE27:BG27)-BH27</f>
        <v>0</v>
      </c>
      <c r="BG44" s="6">
        <f>SUM(BE28:BG28)-BH28</f>
        <v>0</v>
      </c>
      <c r="BH44" s="6">
        <f>SUM(BE29:BG29)-BH29</f>
        <v>0</v>
      </c>
      <c r="BI44" s="6">
        <f>SUM(BE30:BG30)-BH30</f>
        <v>0</v>
      </c>
      <c r="BJ44" s="6">
        <f>SUM(BE31:BG31)-BH31</f>
        <v>0</v>
      </c>
      <c r="BK44" s="6">
        <f>SUM(BE32:BG32)-BH32</f>
        <v>0</v>
      </c>
      <c r="BN44" s="5">
        <f>SUM(BN26:BP26)-BQ26</f>
        <v>0</v>
      </c>
      <c r="BO44" s="6">
        <f>SUM(BN27:BP27)-BQ27</f>
        <v>0</v>
      </c>
      <c r="BP44" s="6">
        <f>SUM(BN28:BP28)-BQ28</f>
        <v>0</v>
      </c>
      <c r="BQ44" s="6">
        <f>SUM(BN29:BP29)-BQ29</f>
        <v>0</v>
      </c>
      <c r="BR44" s="6">
        <f>SUM(BN30:BP30)-BQ30</f>
        <v>0</v>
      </c>
      <c r="BS44" s="6">
        <f>SUM(BN31:BP31)-BQ31</f>
        <v>0</v>
      </c>
      <c r="BT44" s="6">
        <f>SUM(BN32:BP32)-BQ32</f>
        <v>0</v>
      </c>
      <c r="BW44" s="5">
        <f>SUM(BW26:BY26)-BZ26</f>
        <v>0</v>
      </c>
      <c r="BX44" s="6">
        <f>SUM(BW27:BY27)-BZ27</f>
        <v>0</v>
      </c>
      <c r="BY44" s="6">
        <f>SUM(BW28:BY28)-BZ28</f>
        <v>0</v>
      </c>
      <c r="BZ44" s="6">
        <f>SUM(BW29:BY29)-BZ29</f>
        <v>0</v>
      </c>
      <c r="CA44" s="6">
        <f>SUM(BW30:BY30)-BZ30</f>
        <v>0</v>
      </c>
      <c r="CB44" s="6">
        <f>SUM(BW31:BY31)-BZ31</f>
        <v>0</v>
      </c>
      <c r="CC44" s="6">
        <f>SUM(BW32:BY32)-BZ32</f>
        <v>0</v>
      </c>
      <c r="CF44" s="5">
        <f>SUM(CF26:CH26)-CI26</f>
        <v>0</v>
      </c>
      <c r="CG44" s="6">
        <f>SUM(CF27:CH27)-CI27</f>
        <v>0</v>
      </c>
      <c r="CH44" s="6">
        <f>SUM(CF28:CH28)-CI28</f>
        <v>0</v>
      </c>
      <c r="CI44" s="6">
        <f>SUM(CF29:CH29)-CI29</f>
        <v>0</v>
      </c>
      <c r="CJ44" s="6">
        <f>SUM(CF30:CH30)-CI30</f>
        <v>0</v>
      </c>
      <c r="CK44" s="6">
        <f>SUM(CF31:CH31)-CI31</f>
        <v>0</v>
      </c>
      <c r="CL44" s="6">
        <f>SUM(CF32:CH32)-CI32</f>
        <v>0</v>
      </c>
      <c r="CO44" s="5">
        <f>SUM(CO26:CQ26)-CR26</f>
        <v>0</v>
      </c>
      <c r="CP44" s="6">
        <f>SUM(CO27:CQ27)-CR27</f>
        <v>0</v>
      </c>
      <c r="CQ44" s="6">
        <f>SUM(CO28:CQ28)-CR28</f>
        <v>0</v>
      </c>
      <c r="CR44" s="6">
        <f>SUM(CO29:CQ29)-CR29</f>
        <v>0</v>
      </c>
      <c r="CS44" s="6">
        <f>SUM(CO30:CQ30)-CR30</f>
        <v>0</v>
      </c>
      <c r="CT44" s="6">
        <f>SUM(CO31:CQ31)-CR31</f>
        <v>0</v>
      </c>
      <c r="CU44" s="6">
        <f>SUM(CO32:CQ32)-CR32</f>
        <v>0</v>
      </c>
      <c r="CX44" s="5">
        <f>SUM(CX26:CZ26)-DA26</f>
        <v>0</v>
      </c>
      <c r="CY44" s="6">
        <f>SUM(CX27:CZ27)-DA27</f>
        <v>0</v>
      </c>
      <c r="CZ44" s="6">
        <f>SUM(CX28:CZ28)-DA28</f>
        <v>0</v>
      </c>
      <c r="DA44" s="6">
        <f>SUM(CX29:CZ29)-DA29</f>
        <v>0</v>
      </c>
      <c r="DB44" s="6">
        <f>SUM(CX30:CZ30)-DA30</f>
        <v>0</v>
      </c>
      <c r="DC44" s="6">
        <f>SUM(CX31:CZ31)-DA31</f>
        <v>0</v>
      </c>
      <c r="DD44" s="6">
        <f>SUM(CX32:CZ32)-DA32</f>
        <v>0</v>
      </c>
      <c r="DG44" s="5">
        <f>SUM(DG26:DI26)-DJ26</f>
        <v>0</v>
      </c>
      <c r="DH44" s="6">
        <f>SUM(DG27:DI27)-DJ27</f>
        <v>0</v>
      </c>
      <c r="DI44" s="6">
        <f>SUM(DG28:DI28)-DJ28</f>
        <v>0</v>
      </c>
      <c r="DJ44" s="6">
        <f>SUM(DG29:DI29)-DJ29</f>
        <v>0</v>
      </c>
      <c r="DK44" s="6">
        <f>SUM(DG30:DI30)-DJ30</f>
        <v>0</v>
      </c>
      <c r="DL44" s="6">
        <f>SUM(DG31:DI31)-DJ31</f>
        <v>0</v>
      </c>
      <c r="DM44" s="6">
        <f>SUM(DG32:DI32)-DJ32</f>
        <v>0</v>
      </c>
      <c r="DP44" s="5">
        <f>SUM(DP26:DR26)-DS26</f>
        <v>0</v>
      </c>
      <c r="DQ44" s="6">
        <f>SUM(DP27:DR27)-DS27</f>
        <v>0</v>
      </c>
      <c r="DR44" s="6">
        <f>SUM(DP28:DR28)-DS28</f>
        <v>0</v>
      </c>
      <c r="DS44" s="6">
        <f>SUM(DP29:DR29)-DS29</f>
        <v>0</v>
      </c>
      <c r="DT44" s="6">
        <f>SUM(DP30:DR30)-DS30</f>
        <v>0</v>
      </c>
      <c r="DU44" s="6">
        <f>SUM(DP31:DR31)-DS31</f>
        <v>0</v>
      </c>
      <c r="DV44" s="6">
        <f>SUM(DP32:DR32)-DS32</f>
        <v>0</v>
      </c>
      <c r="DY44" s="5">
        <f>SUM(DY26:EA26)-EB26</f>
        <v>0</v>
      </c>
      <c r="DZ44" s="6">
        <f>SUM(DY27:EA27)-EB27</f>
        <v>0</v>
      </c>
      <c r="EA44" s="6">
        <f>SUM(DY28:EA28)-EB28</f>
        <v>0</v>
      </c>
      <c r="EB44" s="6">
        <f>SUM(DY29:EA29)-EB29</f>
        <v>0</v>
      </c>
      <c r="EC44" s="6">
        <f>SUM(DY30:EA30)-EB30</f>
        <v>0</v>
      </c>
      <c r="ED44" s="6">
        <f>SUM(DY31:EA31)-EB31</f>
        <v>0</v>
      </c>
      <c r="EE44" s="6">
        <f>SUM(DY32:EA32)-EB32</f>
        <v>0</v>
      </c>
      <c r="EH44" s="5">
        <f>SUM(EH26:EJ26)-EK26</f>
        <v>0</v>
      </c>
      <c r="EI44" s="6">
        <f>SUM(EH27:EJ27)-EK27</f>
        <v>0</v>
      </c>
      <c r="EJ44" s="6">
        <f>SUM(EH28:EJ28)-EK28</f>
        <v>0</v>
      </c>
      <c r="EK44" s="6">
        <f>SUM(EH29:EJ29)-EK29</f>
        <v>0</v>
      </c>
      <c r="EL44" s="6">
        <f>SUM(EH30:EJ30)-EK30</f>
        <v>0</v>
      </c>
      <c r="EM44" s="6">
        <f>SUM(EH31:EJ31)-EK31</f>
        <v>0</v>
      </c>
      <c r="EN44" s="6">
        <f>SUM(EH32:EJ32)-EK32</f>
        <v>0</v>
      </c>
    </row>
    <row r="45" spans="2:146" x14ac:dyDescent="0.35">
      <c r="B45" t="s">
        <v>89</v>
      </c>
      <c r="C45" s="5">
        <f>G26+H26+I26-J26</f>
        <v>0</v>
      </c>
      <c r="D45" s="6">
        <f>G27+H27+I27-J27</f>
        <v>0</v>
      </c>
      <c r="E45" s="6">
        <f>G28+H28+I28-J28</f>
        <v>0</v>
      </c>
      <c r="F45" s="6">
        <f>G29+H29+I29-J29</f>
        <v>0</v>
      </c>
      <c r="G45" s="6">
        <f>G30+H30+I30-J30</f>
        <v>0</v>
      </c>
      <c r="H45" s="6">
        <f>G31+H31+I31-J31</f>
        <v>0</v>
      </c>
      <c r="I45" s="6">
        <f>G32+H32+I32-J32</f>
        <v>0</v>
      </c>
      <c r="L45" s="5">
        <f>P26+Q26+R26-S26</f>
        <v>0</v>
      </c>
      <c r="M45" s="6">
        <f>P27+Q27+R27-S27</f>
        <v>0</v>
      </c>
      <c r="N45" s="6">
        <f>P28+Q28+R28-S28</f>
        <v>0</v>
      </c>
      <c r="O45" s="6">
        <f>P29+Q29+R29-S29</f>
        <v>0</v>
      </c>
      <c r="P45" s="6">
        <f>P30+Q30+R30-S30</f>
        <v>0</v>
      </c>
      <c r="Q45" s="6">
        <f>P31+Q31+R31-S31</f>
        <v>0</v>
      </c>
      <c r="R45" s="6">
        <f>P32+Q32+R32-S32</f>
        <v>0</v>
      </c>
      <c r="U45" s="5">
        <f>Y26+Z26+AA26-AB26</f>
        <v>0</v>
      </c>
      <c r="V45" s="6">
        <f>Y27+Z27+AA27-AB27</f>
        <v>0</v>
      </c>
      <c r="W45" s="6">
        <f>Y28+Z28+AA28-AB28</f>
        <v>0</v>
      </c>
      <c r="X45" s="6">
        <f>Y29+Z29+AA29-AB29</f>
        <v>0</v>
      </c>
      <c r="Y45" s="6">
        <f>Y30+Z30+AA30-AB30</f>
        <v>0</v>
      </c>
      <c r="Z45" s="6">
        <f>Y31+Z31+AA31-AB31</f>
        <v>0</v>
      </c>
      <c r="AA45" s="6">
        <f>Y32+Z32+AA32-AB32</f>
        <v>0</v>
      </c>
      <c r="AD45" s="5">
        <f>AH26+AI26+AJ26-AK26</f>
        <v>0</v>
      </c>
      <c r="AE45" s="6">
        <f>AH27+AI27+AJ27-AK27</f>
        <v>0</v>
      </c>
      <c r="AF45" s="6">
        <f>AH28+AI28+AJ28-AK28</f>
        <v>0</v>
      </c>
      <c r="AG45" s="6">
        <f>AH29+AI29+AJ29-AK29</f>
        <v>0</v>
      </c>
      <c r="AH45" s="6">
        <f>AH30+AI30+AJ30-AK30</f>
        <v>0</v>
      </c>
      <c r="AI45" s="6">
        <f>AH31+AI31+AJ31-AK31</f>
        <v>0</v>
      </c>
      <c r="AJ45" s="6">
        <f>AH32+AI32+AJ32-AK32</f>
        <v>0</v>
      </c>
      <c r="AM45" s="5">
        <f>AQ26+AR26+AS26-AT26</f>
        <v>0</v>
      </c>
      <c r="AN45" s="6">
        <f>AQ27+AR27+AS27-AT27</f>
        <v>0</v>
      </c>
      <c r="AO45" s="6">
        <f>AQ28+AR28+AS28-AT28</f>
        <v>0</v>
      </c>
      <c r="AP45" s="6">
        <f>AQ29+AR29+AS29-AT29</f>
        <v>0</v>
      </c>
      <c r="AQ45" s="6">
        <f>AQ30+AR30+AS30-AT30</f>
        <v>0</v>
      </c>
      <c r="AR45" s="6">
        <f>AQ31+AR31+AS31-AT31</f>
        <v>0</v>
      </c>
      <c r="AS45" s="6">
        <f>AQ32+AR32+AS32-AT32</f>
        <v>0</v>
      </c>
      <c r="AV45" s="5">
        <f>AZ26+BA26+BB26-BC26</f>
        <v>0</v>
      </c>
      <c r="AW45" s="6">
        <f>AZ27+BA27+BB27-BC27</f>
        <v>0</v>
      </c>
      <c r="AX45" s="6">
        <f>AZ28+BA28+BB28-BC28</f>
        <v>0</v>
      </c>
      <c r="AY45" s="6">
        <f>AZ29+BA29+BB29-BC29</f>
        <v>0</v>
      </c>
      <c r="AZ45" s="6">
        <f>AZ30+BA30+BB30-BC30</f>
        <v>0</v>
      </c>
      <c r="BA45" s="6">
        <f>AZ31+BA31+BB31-BC31</f>
        <v>0</v>
      </c>
      <c r="BB45" s="6">
        <f>AZ32+BA32+BB32-BC32</f>
        <v>0</v>
      </c>
      <c r="BE45" s="5">
        <f>BI26+BJ26+BK26-BL26</f>
        <v>0</v>
      </c>
      <c r="BF45" s="6">
        <f>BI27+BJ27+BK27-BL27</f>
        <v>0</v>
      </c>
      <c r="BG45" s="6">
        <f>BI28+BJ28+BK28-BL28</f>
        <v>0</v>
      </c>
      <c r="BH45" s="6">
        <f>BI29+BJ29+BK29-BL29</f>
        <v>0</v>
      </c>
      <c r="BI45" s="6">
        <f>BI30+BJ30+BK30-BL30</f>
        <v>0</v>
      </c>
      <c r="BJ45" s="6">
        <f>BI31+BJ31+BK31-BL31</f>
        <v>0</v>
      </c>
      <c r="BK45" s="6">
        <f>BI32+BJ32+BK32-BL32</f>
        <v>0</v>
      </c>
      <c r="BN45" s="5">
        <f>BR26+BS26+BT26-BU26</f>
        <v>0</v>
      </c>
      <c r="BO45" s="6">
        <f>BR27+BS27+BT27-BU27</f>
        <v>0</v>
      </c>
      <c r="BP45" s="6">
        <f>BR28+BS28+BT28-BU28</f>
        <v>0</v>
      </c>
      <c r="BQ45" s="6">
        <f>BR29+BS29+BT29-BU29</f>
        <v>0</v>
      </c>
      <c r="BR45" s="6">
        <f>BR30+BS30+BT30-BU30</f>
        <v>0</v>
      </c>
      <c r="BS45" s="6">
        <f>BR31+BS31+BT31-BU31</f>
        <v>0</v>
      </c>
      <c r="BT45" s="6">
        <f>BR32+BS32+BT32-BU32</f>
        <v>0</v>
      </c>
      <c r="BW45" s="5">
        <f>CA26+CB26+CC26-CD26</f>
        <v>0</v>
      </c>
      <c r="BX45" s="6">
        <f>CA27+CB27+CC27-CD27</f>
        <v>0</v>
      </c>
      <c r="BY45" s="6">
        <f>CA28+CB28+CC28-CD28</f>
        <v>0</v>
      </c>
      <c r="BZ45" s="6">
        <f>CA29+CB29+CC29-CD29</f>
        <v>0</v>
      </c>
      <c r="CA45" s="6">
        <f>CA30+CB30+CC30-CD30</f>
        <v>0</v>
      </c>
      <c r="CB45" s="6">
        <f>CA31+CB31+CC31-CD31</f>
        <v>0</v>
      </c>
      <c r="CC45" s="6">
        <f>CA32+CB32+CC32-CD32</f>
        <v>0</v>
      </c>
      <c r="CF45" s="5">
        <f>CJ26+CK26+CL26-CM26</f>
        <v>0</v>
      </c>
      <c r="CG45" s="6">
        <f>CJ27+CK27+CL27-CM27</f>
        <v>0</v>
      </c>
      <c r="CH45" s="6">
        <f>CJ28+CK28+CL28-CM28</f>
        <v>0</v>
      </c>
      <c r="CI45" s="6">
        <f>CJ29+CK29+CL29-CM29</f>
        <v>0</v>
      </c>
      <c r="CJ45" s="6">
        <f>CJ30+CK30+CL30-CM30</f>
        <v>0</v>
      </c>
      <c r="CK45" s="6">
        <f>CJ31+CK31+CL31-CM31</f>
        <v>0</v>
      </c>
      <c r="CL45" s="6">
        <f>CJ32+CK32+CL32-CM32</f>
        <v>0</v>
      </c>
      <c r="CO45" s="5">
        <f>CS26+CT26+CU26-CV26</f>
        <v>0</v>
      </c>
      <c r="CP45" s="6">
        <f>CS27+CT27+CU27-CV27</f>
        <v>0</v>
      </c>
      <c r="CQ45" s="6">
        <f>CS28+CT28+CU28-CV28</f>
        <v>0</v>
      </c>
      <c r="CR45" s="6">
        <f>CS29+CT29+CU29-CV29</f>
        <v>0</v>
      </c>
      <c r="CS45" s="6">
        <f>CS30+CT30+CU30-CV30</f>
        <v>0</v>
      </c>
      <c r="CT45" s="6">
        <f>CS31+CT31+CU31-CV31</f>
        <v>0</v>
      </c>
      <c r="CU45" s="6">
        <f>CS32+CT32+CU32-CV32</f>
        <v>0</v>
      </c>
      <c r="CX45" s="5">
        <f>DB26+DC26+DD26-DE26</f>
        <v>0</v>
      </c>
      <c r="CY45" s="6">
        <f>DB27+DC27+DD27-DE27</f>
        <v>0</v>
      </c>
      <c r="CZ45" s="6">
        <f>DB28+DC28+DD28-DE28</f>
        <v>0</v>
      </c>
      <c r="DA45" s="6">
        <f>DB29+DC29+DD29-DE29</f>
        <v>0</v>
      </c>
      <c r="DB45" s="6">
        <f>DB30+DC30+DD30-DE30</f>
        <v>0</v>
      </c>
      <c r="DC45" s="6">
        <f>DB31+DC31+DD31-DE31</f>
        <v>0</v>
      </c>
      <c r="DD45" s="6">
        <f>DB32+DC32+DD32-DE32</f>
        <v>0</v>
      </c>
      <c r="DG45" s="5">
        <f>DK26+DL26+DM26-DN26</f>
        <v>0</v>
      </c>
      <c r="DH45" s="6">
        <f>DK27+DL27+DM27-DN27</f>
        <v>0</v>
      </c>
      <c r="DI45" s="6">
        <f>DK28+DL28+DM28-DN28</f>
        <v>0</v>
      </c>
      <c r="DJ45" s="6">
        <f>DK29+DL29+DM29-DN29</f>
        <v>0</v>
      </c>
      <c r="DK45" s="6">
        <f>DK30+DL30+DM30-DN30</f>
        <v>0</v>
      </c>
      <c r="DL45" s="6">
        <f>DK31+DL31+DM31-DN31</f>
        <v>0</v>
      </c>
      <c r="DM45" s="6">
        <f>DK32+DL32+DM32-DN32</f>
        <v>0</v>
      </c>
      <c r="DP45" s="5">
        <f>DT26+DU26+DV26-DW26</f>
        <v>0</v>
      </c>
      <c r="DQ45" s="6">
        <f>DT27+DU27+DV27-DW27</f>
        <v>0</v>
      </c>
      <c r="DR45" s="6">
        <f>DT28+DU28+DV28-DW28</f>
        <v>0</v>
      </c>
      <c r="DS45" s="6">
        <f>DT29+DU29+DV29-DW29</f>
        <v>0</v>
      </c>
      <c r="DT45" s="6">
        <f>DT30+DU30+DV30-DW30</f>
        <v>0</v>
      </c>
      <c r="DU45" s="6">
        <f>DT31+DU31+DV31-DW31</f>
        <v>0</v>
      </c>
      <c r="DV45" s="6">
        <f>DT32+DU32+DV32-DW32</f>
        <v>0</v>
      </c>
      <c r="DY45" s="5">
        <f>EC26+ED26+EE26-EF26</f>
        <v>0</v>
      </c>
      <c r="DZ45" s="6">
        <f>EC27+ED27+EE27-EF27</f>
        <v>0</v>
      </c>
      <c r="EA45" s="6">
        <f>EC28+ED28+EE28-EF28</f>
        <v>0</v>
      </c>
      <c r="EB45" s="6">
        <f>EC29+ED29+EE29-EF29</f>
        <v>0</v>
      </c>
      <c r="EC45" s="6">
        <f>EC30+ED30+EE30-EF30</f>
        <v>0</v>
      </c>
      <c r="ED45" s="6">
        <f>EC31+ED31+EE31-EF31</f>
        <v>0</v>
      </c>
      <c r="EE45" s="6">
        <f>EC32+ED32+EE32-EF32</f>
        <v>0</v>
      </c>
      <c r="EH45" s="5">
        <f>EL26+EM26+EN26-EO26</f>
        <v>0</v>
      </c>
      <c r="EI45" s="6">
        <f>EL27+EM27+EN27-EO27</f>
        <v>0</v>
      </c>
      <c r="EJ45" s="6">
        <f>EL28+EM28+EN28-EO28</f>
        <v>0</v>
      </c>
      <c r="EK45" s="6">
        <f>EL29+EM29+EN29-EO29</f>
        <v>0</v>
      </c>
      <c r="EL45" s="6">
        <f>EL30+EM30+EN30-EO30</f>
        <v>0</v>
      </c>
      <c r="EM45" s="6">
        <f>EL31+EM31+EN31-EO31</f>
        <v>0</v>
      </c>
      <c r="EN45" s="6">
        <f>EL32+EM32+EN32-EO32</f>
        <v>0</v>
      </c>
    </row>
    <row r="46" spans="2:146" x14ac:dyDescent="0.35">
      <c r="B46" t="s">
        <v>88</v>
      </c>
      <c r="C46" s="5">
        <f>F26+J26-K26</f>
        <v>0</v>
      </c>
      <c r="D46" s="6">
        <f>F27+J27-K27</f>
        <v>0</v>
      </c>
      <c r="E46" s="6">
        <f>F28+J28-K28</f>
        <v>0</v>
      </c>
      <c r="F46" s="6">
        <f>F29+J29-K29</f>
        <v>0</v>
      </c>
      <c r="G46" s="6">
        <f>F30+J30-K30</f>
        <v>0</v>
      </c>
      <c r="H46" s="6">
        <f>F31+J31-K31</f>
        <v>0</v>
      </c>
      <c r="I46" s="6">
        <f>F32+J32-K32</f>
        <v>0</v>
      </c>
      <c r="L46" s="5">
        <f>O26+S26-T26</f>
        <v>0</v>
      </c>
      <c r="M46" s="6">
        <f>O27+S27-T27</f>
        <v>0</v>
      </c>
      <c r="N46" s="6">
        <f>O28+S28-T28</f>
        <v>0</v>
      </c>
      <c r="O46" s="6">
        <f>O29+S29-T29</f>
        <v>0</v>
      </c>
      <c r="P46" s="6">
        <f>O30+S30-T30</f>
        <v>0</v>
      </c>
      <c r="Q46" s="6">
        <f>O31+S31-T31</f>
        <v>0</v>
      </c>
      <c r="R46" s="6">
        <f>O32+S32-T32</f>
        <v>0</v>
      </c>
      <c r="U46" s="5">
        <f>X26+AB26-AC26</f>
        <v>0</v>
      </c>
      <c r="V46" s="6">
        <f>X27+AB27-AC27</f>
        <v>0</v>
      </c>
      <c r="W46" s="6">
        <f>X28+AB28-AC28</f>
        <v>0</v>
      </c>
      <c r="X46" s="6">
        <f>X29+AB29-AC29</f>
        <v>0</v>
      </c>
      <c r="Y46" s="6">
        <f>X30+AB30-AC30</f>
        <v>0</v>
      </c>
      <c r="Z46" s="6">
        <f>X31+AB31-AC31</f>
        <v>0</v>
      </c>
      <c r="AA46" s="6">
        <f>X32+AB32-AC32</f>
        <v>0</v>
      </c>
      <c r="AD46" s="5">
        <f>AG26+AK26-AL26</f>
        <v>0</v>
      </c>
      <c r="AE46" s="6">
        <f>AG27+AK27-AL27</f>
        <v>0</v>
      </c>
      <c r="AF46" s="6">
        <f>AG28+AK28-AL28</f>
        <v>0</v>
      </c>
      <c r="AG46" s="6">
        <f>AG29+AK29-AL29</f>
        <v>0</v>
      </c>
      <c r="AH46" s="6">
        <f>AG30+AK30-AL30</f>
        <v>0</v>
      </c>
      <c r="AI46" s="6">
        <f>AG31+AK31-AL31</f>
        <v>0</v>
      </c>
      <c r="AJ46" s="6">
        <f>AG32+AK32-AL32</f>
        <v>0</v>
      </c>
      <c r="AM46" s="5">
        <f>AP26+AT26-AU26</f>
        <v>0</v>
      </c>
      <c r="AN46" s="6">
        <f>AP27+AT27-AU27</f>
        <v>0</v>
      </c>
      <c r="AO46" s="6">
        <f>AP28+AT28-AU28</f>
        <v>0</v>
      </c>
      <c r="AP46" s="6">
        <f>AP29+AT29-AU29</f>
        <v>0</v>
      </c>
      <c r="AQ46" s="6">
        <f>AP30+AT30-AU30</f>
        <v>0</v>
      </c>
      <c r="AR46" s="6">
        <f>AP31+AT31-AU31</f>
        <v>0</v>
      </c>
      <c r="AS46" s="6">
        <f>AP32+AT32-AU32</f>
        <v>0</v>
      </c>
      <c r="AV46" s="5">
        <f>AY26+BC26-BD26</f>
        <v>0</v>
      </c>
      <c r="AW46" s="6">
        <f>AY27+BC27-BD27</f>
        <v>0</v>
      </c>
      <c r="AX46" s="6">
        <f>AY28+BC28-BD28</f>
        <v>0</v>
      </c>
      <c r="AY46" s="6">
        <f>AY29+BC29-BD29</f>
        <v>0</v>
      </c>
      <c r="AZ46" s="6">
        <f>AY30+BC30-BD30</f>
        <v>0</v>
      </c>
      <c r="BA46" s="6">
        <f>AY31+BC31-BD31</f>
        <v>0</v>
      </c>
      <c r="BB46" s="6">
        <f>AY32+BC32-BD32</f>
        <v>0</v>
      </c>
      <c r="BE46" s="5">
        <f>BH26+BL26-BM26</f>
        <v>0</v>
      </c>
      <c r="BF46" s="6">
        <f>BH27+BL27-BM27</f>
        <v>0</v>
      </c>
      <c r="BG46" s="6">
        <f>BH28+BL28-BM28</f>
        <v>0</v>
      </c>
      <c r="BH46" s="6">
        <f>BH29+BL29-BM29</f>
        <v>0</v>
      </c>
      <c r="BI46" s="6">
        <f>BH30+BL30-BM30</f>
        <v>0</v>
      </c>
      <c r="BJ46" s="6">
        <f>BH31+BL31-BM31</f>
        <v>0</v>
      </c>
      <c r="BK46" s="6">
        <f>BH32+BL32-BM32</f>
        <v>0</v>
      </c>
      <c r="BN46" s="5">
        <f>BQ26+BU26-BV26</f>
        <v>0</v>
      </c>
      <c r="BO46" s="6">
        <f>BQ27+BU27-BV27</f>
        <v>0</v>
      </c>
      <c r="BP46" s="6">
        <f>BQ28+BU28-BV28</f>
        <v>0</v>
      </c>
      <c r="BQ46" s="6">
        <f>BQ29+BU29-BV29</f>
        <v>0</v>
      </c>
      <c r="BR46" s="6">
        <f>BQ30+BU30-BV30</f>
        <v>0</v>
      </c>
      <c r="BS46" s="6">
        <f>BQ31+BU31-BV31</f>
        <v>0</v>
      </c>
      <c r="BT46" s="6">
        <f>BQ32+BU32-BV32</f>
        <v>0</v>
      </c>
      <c r="BW46" s="5">
        <f>BZ26+CD26-CE26</f>
        <v>0</v>
      </c>
      <c r="BX46" s="6">
        <f>BZ27+CD27-CE27</f>
        <v>0</v>
      </c>
      <c r="BY46" s="6">
        <f>BZ28+CD28-CE28</f>
        <v>0</v>
      </c>
      <c r="BZ46" s="6">
        <f>BZ29+CD29-CE29</f>
        <v>0</v>
      </c>
      <c r="CA46" s="6">
        <f>BZ30+CD30-CE30</f>
        <v>0</v>
      </c>
      <c r="CB46" s="6">
        <f>BZ31+CD31-CE31</f>
        <v>0</v>
      </c>
      <c r="CC46" s="6">
        <f>BZ32+CD32-CE32</f>
        <v>0</v>
      </c>
      <c r="CF46" s="5">
        <f>CI26+CM26-CN26</f>
        <v>0</v>
      </c>
      <c r="CG46" s="6">
        <f>CI27+CM27-CN27</f>
        <v>0</v>
      </c>
      <c r="CH46" s="6">
        <f>CI28+CM28-CN28</f>
        <v>0</v>
      </c>
      <c r="CI46" s="6">
        <f>CI29+CM29-CN29</f>
        <v>0</v>
      </c>
      <c r="CJ46" s="6">
        <f>CI30+CM30-CN30</f>
        <v>0</v>
      </c>
      <c r="CK46" s="6">
        <f>CI31+CM31-CN31</f>
        <v>0</v>
      </c>
      <c r="CL46" s="6">
        <f>CI32+CM32-CN32</f>
        <v>0</v>
      </c>
      <c r="CO46" s="5">
        <f>CR26+CV26-CW26</f>
        <v>0</v>
      </c>
      <c r="CP46" s="6">
        <f>CR27+CV27-CW27</f>
        <v>0</v>
      </c>
      <c r="CQ46" s="6">
        <f>CR28+CV28-CW28</f>
        <v>0</v>
      </c>
      <c r="CR46" s="6">
        <f>CR29+CV29-CW29</f>
        <v>0</v>
      </c>
      <c r="CS46" s="6">
        <f>CR30+CV30-CW30</f>
        <v>0</v>
      </c>
      <c r="CT46" s="6">
        <f>CR31+CV31-CW31</f>
        <v>0</v>
      </c>
      <c r="CU46" s="6">
        <f>CR32+CV32-CW32</f>
        <v>0</v>
      </c>
      <c r="CX46" s="5">
        <f>DA26+DE26-DF26</f>
        <v>0</v>
      </c>
      <c r="CY46" s="6">
        <f>DA27+DE27-DF27</f>
        <v>0</v>
      </c>
      <c r="CZ46" s="6">
        <f>DA28+DE28-DF28</f>
        <v>0</v>
      </c>
      <c r="DA46" s="6">
        <f>DA29+DE29-DF29</f>
        <v>0</v>
      </c>
      <c r="DB46" s="6">
        <f>DA30+DE30-DF30</f>
        <v>0</v>
      </c>
      <c r="DC46" s="6">
        <f>DA31+DE31-DF31</f>
        <v>0</v>
      </c>
      <c r="DD46" s="6">
        <f>DA32+DE32-DF32</f>
        <v>0</v>
      </c>
      <c r="DG46" s="5">
        <f>DJ26+DN26-DO26</f>
        <v>0</v>
      </c>
      <c r="DH46" s="6">
        <f>DJ27+DN27-DO27</f>
        <v>0</v>
      </c>
      <c r="DI46" s="6">
        <f>DJ28+DN28-DO28</f>
        <v>0</v>
      </c>
      <c r="DJ46" s="6">
        <f>DJ29+DN29-DO29</f>
        <v>0</v>
      </c>
      <c r="DK46" s="6">
        <f>DJ30+DN30-DO30</f>
        <v>0</v>
      </c>
      <c r="DL46" s="6">
        <f>DJ31+DN31-DO31</f>
        <v>0</v>
      </c>
      <c r="DM46" s="6">
        <f>DJ32+DN32-DO32</f>
        <v>0</v>
      </c>
      <c r="DP46" s="5">
        <f>DS26+DW26-DX26</f>
        <v>0</v>
      </c>
      <c r="DQ46" s="6">
        <f>DS27+DW27-DX27</f>
        <v>0</v>
      </c>
      <c r="DR46" s="6">
        <f>DS28+DW28-DX28</f>
        <v>0</v>
      </c>
      <c r="DS46" s="6">
        <f>DS29+DW29-DX29</f>
        <v>0</v>
      </c>
      <c r="DT46" s="6">
        <f>DS30+DW30-DX30</f>
        <v>0</v>
      </c>
      <c r="DU46" s="6">
        <f>DS31+DW31-DX31</f>
        <v>0</v>
      </c>
      <c r="DV46" s="6">
        <f>DS32+DW32-DX32</f>
        <v>0</v>
      </c>
      <c r="DY46" s="5">
        <f>EB26+EF26-EG26</f>
        <v>0</v>
      </c>
      <c r="DZ46" s="6">
        <f>EB27+EF27-EG27</f>
        <v>0</v>
      </c>
      <c r="EA46" s="6">
        <f>EB28+EF28-EG28</f>
        <v>0</v>
      </c>
      <c r="EB46" s="6">
        <f>EB29+EF29-EG29</f>
        <v>0</v>
      </c>
      <c r="EC46" s="6">
        <f>EB30+EF30-EG30</f>
        <v>0</v>
      </c>
      <c r="ED46" s="6">
        <f>EB31+EF31-EG31</f>
        <v>0</v>
      </c>
      <c r="EE46" s="6">
        <f>EB32+EF32-EG32</f>
        <v>0</v>
      </c>
      <c r="EH46" s="5">
        <f>EK26+EO26-EP26</f>
        <v>0</v>
      </c>
      <c r="EI46" s="6">
        <f>EK27+EO27-EP27</f>
        <v>0</v>
      </c>
      <c r="EJ46" s="6">
        <f>EK28+EO28-EP28</f>
        <v>0</v>
      </c>
      <c r="EK46" s="6">
        <f>EK29+EO29-EP29</f>
        <v>0</v>
      </c>
      <c r="EL46" s="6">
        <f>EK30+EO30-EP30</f>
        <v>0</v>
      </c>
      <c r="EM46" s="6">
        <f>EK31+EO31-EP31</f>
        <v>0</v>
      </c>
      <c r="EN46" s="6">
        <f>EK32+EO32-EP32</f>
        <v>0</v>
      </c>
    </row>
    <row r="47" spans="2:146" x14ac:dyDescent="0.35">
      <c r="B47" t="s">
        <v>90</v>
      </c>
      <c r="C47" s="5">
        <f>C38-K26</f>
        <v>0</v>
      </c>
      <c r="D47" s="6">
        <f>D38-K27</f>
        <v>0</v>
      </c>
      <c r="E47" s="6">
        <f>E38-K28</f>
        <v>0</v>
      </c>
      <c r="F47" s="6">
        <f>F38-K29</f>
        <v>0</v>
      </c>
      <c r="L47" s="5">
        <f>L38-T26</f>
        <v>0</v>
      </c>
      <c r="M47" s="6">
        <f>M38-T27</f>
        <v>0</v>
      </c>
      <c r="N47" s="6">
        <f>N38-T28</f>
        <v>0</v>
      </c>
      <c r="O47" s="6">
        <f>O38-T29</f>
        <v>0</v>
      </c>
      <c r="U47" s="5">
        <f>U38-AC26</f>
        <v>0</v>
      </c>
      <c r="V47" s="6">
        <f>V38-AC27</f>
        <v>0</v>
      </c>
      <c r="W47" s="6">
        <f>W38-AC28</f>
        <v>0</v>
      </c>
      <c r="X47" s="6">
        <f>X38-AC29</f>
        <v>0</v>
      </c>
      <c r="AD47" s="5">
        <f>AD38-AL26</f>
        <v>0</v>
      </c>
      <c r="AE47" s="6">
        <f>AE38-AL27</f>
        <v>0</v>
      </c>
      <c r="AF47" s="6">
        <f>AF38-AL28</f>
        <v>0</v>
      </c>
      <c r="AG47" s="6">
        <f>AG38-AL29</f>
        <v>0</v>
      </c>
      <c r="AM47" s="5">
        <f>AM38-AU26</f>
        <v>0</v>
      </c>
      <c r="AN47" s="6">
        <f>AN38-AU27</f>
        <v>0</v>
      </c>
      <c r="AO47" s="6">
        <f>AO38-AU28</f>
        <v>0</v>
      </c>
      <c r="AP47" s="6">
        <f>AP38-AU29</f>
        <v>0</v>
      </c>
      <c r="AV47" s="5">
        <f>AV38-BD26</f>
        <v>0</v>
      </c>
      <c r="AW47" s="6">
        <f>AW38-BD27</f>
        <v>0</v>
      </c>
      <c r="AX47" s="6">
        <f>AX38-BD28</f>
        <v>0</v>
      </c>
      <c r="AY47" s="6">
        <f>AY38-BD29</f>
        <v>0</v>
      </c>
      <c r="BE47" s="5">
        <f>BE38-BM26</f>
        <v>0</v>
      </c>
      <c r="BF47" s="6">
        <f>BF38-BM27</f>
        <v>0</v>
      </c>
      <c r="BG47" s="6">
        <f>BG38-BM28</f>
        <v>0</v>
      </c>
      <c r="BH47" s="6">
        <f>BH38-BM29</f>
        <v>0</v>
      </c>
      <c r="BN47" s="5">
        <f>BN38-BV26</f>
        <v>0</v>
      </c>
      <c r="BO47" s="6">
        <f>BO38-BV27</f>
        <v>0</v>
      </c>
      <c r="BP47" s="6">
        <f>BP38-BV28</f>
        <v>0</v>
      </c>
      <c r="BQ47" s="6">
        <f>BQ38-BV29</f>
        <v>0</v>
      </c>
      <c r="BW47" s="5">
        <f>BW38-CE26</f>
        <v>0</v>
      </c>
      <c r="BX47" s="6">
        <f>BX38-CE27</f>
        <v>0</v>
      </c>
      <c r="BY47" s="6">
        <f>BY38-CE28</f>
        <v>0</v>
      </c>
      <c r="BZ47" s="6">
        <f>BZ38-CE29</f>
        <v>0</v>
      </c>
      <c r="CF47" s="5">
        <f>CF38-CN26</f>
        <v>0</v>
      </c>
      <c r="CG47" s="6">
        <f>CG38-CN27</f>
        <v>0</v>
      </c>
      <c r="CH47" s="6">
        <f>CH38-CN28</f>
        <v>0</v>
      </c>
      <c r="CI47" s="6">
        <f>CI38-CN29</f>
        <v>0</v>
      </c>
      <c r="CO47" s="5">
        <f>CO38-CW26</f>
        <v>0</v>
      </c>
      <c r="CP47" s="6">
        <f>CP38-CW27</f>
        <v>0</v>
      </c>
      <c r="CQ47" s="6">
        <f>CQ38-CW28</f>
        <v>0</v>
      </c>
      <c r="CR47" s="6">
        <f>CR38-CW29</f>
        <v>0</v>
      </c>
      <c r="CX47" s="5">
        <f>CX38-DF26</f>
        <v>0</v>
      </c>
      <c r="CY47" s="6">
        <f>CY38-DF27</f>
        <v>0</v>
      </c>
      <c r="CZ47" s="6">
        <f>CZ38-DF28</f>
        <v>0</v>
      </c>
      <c r="DA47" s="6">
        <f>DA38-DF29</f>
        <v>0</v>
      </c>
      <c r="DG47" s="5">
        <f>DG38-DO26</f>
        <v>0</v>
      </c>
      <c r="DH47" s="6">
        <f>DH38-DO27</f>
        <v>0</v>
      </c>
      <c r="DI47" s="6">
        <f>DI38-DO28</f>
        <v>0</v>
      </c>
      <c r="DJ47" s="6">
        <f>DJ38-DO29</f>
        <v>0</v>
      </c>
      <c r="DP47" s="5">
        <f>DP38-DX26</f>
        <v>0</v>
      </c>
      <c r="DQ47" s="6">
        <f>DQ38-DX27</f>
        <v>0</v>
      </c>
      <c r="DR47" s="6">
        <f>DR38-DX28</f>
        <v>0</v>
      </c>
      <c r="DS47" s="6">
        <f>DS38-DX29</f>
        <v>0</v>
      </c>
      <c r="DY47" s="5">
        <f>DY38-EG26</f>
        <v>0</v>
      </c>
      <c r="DZ47" s="6">
        <f>DZ38-EG27</f>
        <v>0</v>
      </c>
      <c r="EA47" s="6">
        <f>EA38-EG28</f>
        <v>0</v>
      </c>
      <c r="EB47" s="6">
        <f>EB38-EG29</f>
        <v>0</v>
      </c>
      <c r="EH47" s="5">
        <f>EH38-EP26</f>
        <v>0</v>
      </c>
      <c r="EI47" s="6">
        <f>EI38-EP27</f>
        <v>0</v>
      </c>
      <c r="EJ47" s="6">
        <f>EJ38-EP28</f>
        <v>0</v>
      </c>
      <c r="EK47" s="6">
        <f>EK38-EP29</f>
        <v>0</v>
      </c>
    </row>
    <row r="48" spans="2:146" x14ac:dyDescent="0.35">
      <c r="L48" s="10"/>
      <c r="U48" s="10"/>
      <c r="AD48" s="10"/>
      <c r="AM48" s="10"/>
      <c r="AV48" s="10"/>
      <c r="BE48" s="10"/>
      <c r="BN48" s="10"/>
      <c r="BW48" s="10"/>
      <c r="CF48" s="10"/>
      <c r="CO48" s="10"/>
      <c r="CX48" s="10"/>
      <c r="DG48" s="10"/>
      <c r="DP48" s="10"/>
      <c r="DY48" s="10"/>
      <c r="EH48" s="10"/>
    </row>
    <row r="49" spans="2:144" x14ac:dyDescent="0.35">
      <c r="B49" t="s">
        <v>91</v>
      </c>
      <c r="C49" s="5">
        <f>Peremszámok!$H20-F38</f>
        <v>-1531588.0550925955</v>
      </c>
      <c r="D49" s="48">
        <f>C49/Peremszámok!$H20</f>
        <v>-2.5276079249655824E-2</v>
      </c>
      <c r="G49" cm="1">
        <f t="array" ref="G49:I51">_xlfn.MUNIT(3)</f>
        <v>1</v>
      </c>
      <c r="H49">
        <v>0</v>
      </c>
      <c r="I49">
        <v>0</v>
      </c>
      <c r="L49" s="5">
        <f>Peremszámok!$H21-O38</f>
        <v>-2175009.5464367941</v>
      </c>
      <c r="M49" s="48">
        <f>L49/Peremszámok!$H21</f>
        <v>-3.5124678904831855E-2</v>
      </c>
      <c r="P49">
        <f t="shared" ref="P49:P57" si="274">G49</f>
        <v>1</v>
      </c>
      <c r="Q49">
        <f t="shared" ref="Q49:Q57" si="275">H49</f>
        <v>0</v>
      </c>
      <c r="R49">
        <f t="shared" ref="R49:R57" si="276">I49</f>
        <v>0</v>
      </c>
      <c r="U49" s="5">
        <f>Peremszámok!$H22-X38</f>
        <v>-2901095.965005897</v>
      </c>
      <c r="V49" s="48">
        <f>U49/Peremszámok!$H22</f>
        <v>-4.8551062445206287E-2</v>
      </c>
      <c r="Y49">
        <f t="shared" ref="Y49:Y57" si="277">P49</f>
        <v>1</v>
      </c>
      <c r="Z49">
        <f t="shared" ref="Z49:Z57" si="278">Q49</f>
        <v>0</v>
      </c>
      <c r="AA49">
        <f t="shared" ref="AA49:AA57" si="279">R49</f>
        <v>0</v>
      </c>
      <c r="AD49" s="5">
        <f>Peremszámok!$H23-AG38</f>
        <v>424728.17373616248</v>
      </c>
      <c r="AE49" s="48">
        <f>AD49/Peremszámok!$H23</f>
        <v>6.8343008790002144E-3</v>
      </c>
      <c r="AH49">
        <f t="shared" ref="AH49:AH57" si="280">AZ49</f>
        <v>1</v>
      </c>
      <c r="AI49">
        <f t="shared" ref="AI49:AI57" si="281">BA49</f>
        <v>0</v>
      </c>
      <c r="AJ49">
        <f t="shared" ref="AJ49:AJ57" si="282">BB49</f>
        <v>0</v>
      </c>
      <c r="AM49" s="5">
        <f>Peremszámok!$H24-AP38</f>
        <v>-164930.98018661886</v>
      </c>
      <c r="AN49" s="48">
        <f>AM49/Peremszámok!$H24</f>
        <v>-2.496522671965934E-3</v>
      </c>
      <c r="AQ49">
        <f t="shared" ref="AQ49:AQ57" si="283">AZ49</f>
        <v>1</v>
      </c>
      <c r="AR49">
        <f t="shared" ref="AR49:AR57" si="284">BA49</f>
        <v>0</v>
      </c>
      <c r="AS49">
        <f t="shared" ref="AS49:AS57" si="285">BB49</f>
        <v>0</v>
      </c>
      <c r="AV49" s="10"/>
      <c r="AZ49" cm="1">
        <f t="array" ref="AZ49:BB51">_xlfn.MUNIT(3)</f>
        <v>1</v>
      </c>
      <c r="BA49">
        <v>0</v>
      </c>
      <c r="BB49">
        <v>0</v>
      </c>
      <c r="BE49" s="5">
        <f>Peremszámok!$H26-BH38</f>
        <v>-745624.13428118825</v>
      </c>
      <c r="BF49" s="48">
        <f>BE49/Peremszámok!$H26</f>
        <v>-1.0521961354312492E-2</v>
      </c>
      <c r="BI49">
        <f t="shared" ref="BI49:BI57" si="286">AZ49</f>
        <v>1</v>
      </c>
      <c r="BJ49">
        <f t="shared" ref="BJ49:BJ57" si="287">BA49</f>
        <v>0</v>
      </c>
      <c r="BK49">
        <f t="shared" ref="BK49:BK57" si="288">BB49</f>
        <v>0</v>
      </c>
      <c r="BN49" s="5">
        <f>Peremszámok!$H27-BQ38</f>
        <v>-1820000.6164010614</v>
      </c>
      <c r="BO49" s="48">
        <f>BN49/Peremszámok!$H27</f>
        <v>-2.4537807635176434E-2</v>
      </c>
      <c r="BR49">
        <f t="shared" ref="BR49:BR57" si="289">BI49</f>
        <v>1</v>
      </c>
      <c r="BS49">
        <f t="shared" ref="BS49:BS57" si="290">BJ49</f>
        <v>0</v>
      </c>
      <c r="BT49">
        <f t="shared" ref="BT49:BT57" si="291">BK49</f>
        <v>0</v>
      </c>
      <c r="BW49" s="5">
        <f>Peremszámok!$H28-BZ38</f>
        <v>-2086433.3489881456</v>
      </c>
      <c r="BX49" s="48">
        <f>BW49/Peremszámok!$H28</f>
        <v>-2.6497446272497633E-2</v>
      </c>
      <c r="CA49">
        <f>$CS$49</f>
        <v>1</v>
      </c>
      <c r="CB49">
        <f>$CT$49</f>
        <v>0</v>
      </c>
      <c r="CC49">
        <f>$CU$49</f>
        <v>0</v>
      </c>
      <c r="CF49" s="5">
        <f>Peremszámok!$H29-CI38</f>
        <v>-2500322.5705996007</v>
      </c>
      <c r="CG49" s="48">
        <f>CF49/Peremszámok!$H29</f>
        <v>-3.0129668669337459E-2</v>
      </c>
      <c r="CJ49">
        <f>$CS$49</f>
        <v>1</v>
      </c>
      <c r="CK49">
        <f>$CT$49</f>
        <v>0</v>
      </c>
      <c r="CL49">
        <f>$CU$49</f>
        <v>0</v>
      </c>
      <c r="CO49" s="5">
        <f>Peremszámok!$H30-CR38</f>
        <v>-2800542.1819987893</v>
      </c>
      <c r="CP49" s="48">
        <f>CO49/Peremszámok!$H30</f>
        <v>-3.3878946713334829E-2</v>
      </c>
      <c r="CS49" cm="1">
        <f t="array" ref="CS49:CU51">_xlfn.MUNIT(3)</f>
        <v>1</v>
      </c>
      <c r="CT49">
        <v>0</v>
      </c>
      <c r="CU49">
        <v>0</v>
      </c>
      <c r="CX49" s="5">
        <f>Peremszámok!$H31-DA38</f>
        <v>-2680115.8659172207</v>
      </c>
      <c r="CY49" s="48">
        <f>CX49/Peremszámok!$H29</f>
        <v>-3.2296234087970291E-2</v>
      </c>
      <c r="DB49">
        <f>$CS$49</f>
        <v>1</v>
      </c>
      <c r="DC49">
        <f>$CT$49</f>
        <v>0</v>
      </c>
      <c r="DD49">
        <f>$CU$49</f>
        <v>0</v>
      </c>
      <c r="DG49" s="5">
        <f>Peremszámok!$H32-DJ38</f>
        <v>-2800224.6425200999</v>
      </c>
      <c r="DH49" s="48">
        <f>DG49/Peremszámok!$H29</f>
        <v>-3.3743582396495289E-2</v>
      </c>
      <c r="DK49">
        <f>$CS$49</f>
        <v>1</v>
      </c>
      <c r="DL49">
        <f>$CT$49</f>
        <v>0</v>
      </c>
      <c r="DM49">
        <f>$CU$49</f>
        <v>0</v>
      </c>
      <c r="DP49" s="5">
        <f>Peremszámok!$H33-DS38</f>
        <v>-2871055.8905991316</v>
      </c>
      <c r="DQ49" s="48">
        <f>DP49/Peremszámok!$H29</f>
        <v>-3.4597121080324034E-2</v>
      </c>
      <c r="DT49">
        <f>$CS$49</f>
        <v>1</v>
      </c>
      <c r="DU49">
        <f>$CT$49</f>
        <v>0</v>
      </c>
      <c r="DV49">
        <f>$CU$49</f>
        <v>0</v>
      </c>
      <c r="DY49" s="5">
        <f>Peremszámok!$H34-EB38</f>
        <v>-2892609.6101548821</v>
      </c>
      <c r="DZ49" s="48">
        <f>DY49/Peremszámok!$H29</f>
        <v>-3.4856850139463325E-2</v>
      </c>
      <c r="EC49">
        <f>$CS$49</f>
        <v>1</v>
      </c>
      <c r="ED49">
        <f>$CT$49</f>
        <v>0</v>
      </c>
      <c r="EE49">
        <f>$CU$49</f>
        <v>0</v>
      </c>
      <c r="EH49" s="5">
        <f>Peremszámok!$H35-EK38</f>
        <v>-2864885.8011875451</v>
      </c>
      <c r="EI49" s="48">
        <f>EH49/Peremszámok!$H29</f>
        <v>-3.4522769573915514E-2</v>
      </c>
      <c r="EL49">
        <f>$CS$49</f>
        <v>1</v>
      </c>
      <c r="EM49">
        <f>$CT$49</f>
        <v>0</v>
      </c>
      <c r="EN49">
        <f>$CU$49</f>
        <v>0</v>
      </c>
    </row>
    <row r="50" spans="2:144" x14ac:dyDescent="0.35">
      <c r="B50" t="s">
        <v>22</v>
      </c>
      <c r="C50" s="5">
        <f>Peremszámok!$N20-F37</f>
        <v>450280.67349181697</v>
      </c>
      <c r="D50" s="48">
        <f>C50/Peremszámok!$N20</f>
        <v>1.711312311560715E-2</v>
      </c>
      <c r="G50">
        <v>0</v>
      </c>
      <c r="H50">
        <v>1</v>
      </c>
      <c r="I50">
        <v>0</v>
      </c>
      <c r="L50" s="5">
        <f>Peremszámok!$N21-O37</f>
        <v>220481.27784249559</v>
      </c>
      <c r="M50" s="48">
        <f>L50/Peremszámok!$N21</f>
        <v>8.2122957675478808E-3</v>
      </c>
      <c r="P50">
        <f t="shared" si="274"/>
        <v>0</v>
      </c>
      <c r="Q50">
        <f t="shared" si="275"/>
        <v>1</v>
      </c>
      <c r="R50">
        <f t="shared" si="276"/>
        <v>0</v>
      </c>
      <c r="U50" s="5">
        <f>Peremszámok!$N22-X37</f>
        <v>439666.38293827698</v>
      </c>
      <c r="V50" s="48">
        <f>U50/Peremszámok!$N22</f>
        <v>1.6606921942091627E-2</v>
      </c>
      <c r="Y50">
        <f t="shared" si="277"/>
        <v>0</v>
      </c>
      <c r="Z50">
        <f t="shared" si="278"/>
        <v>1</v>
      </c>
      <c r="AA50">
        <f t="shared" si="279"/>
        <v>0</v>
      </c>
      <c r="AD50" s="5">
        <f>Peremszámok!$N23-AG37</f>
        <v>931171.73543928936</v>
      </c>
      <c r="AE50" s="48">
        <f>AD50/Peremszámok!$N23</f>
        <v>3.4314081262578441E-2</v>
      </c>
      <c r="AH50">
        <f t="shared" si="280"/>
        <v>0</v>
      </c>
      <c r="AI50">
        <f t="shared" si="281"/>
        <v>1</v>
      </c>
      <c r="AJ50">
        <f t="shared" si="282"/>
        <v>0</v>
      </c>
      <c r="AM50" s="5">
        <f>Peremszámok!$N24-AP37</f>
        <v>326103.9629072994</v>
      </c>
      <c r="AN50" s="48">
        <f>AM50/Peremszámok!$N24</f>
        <v>1.1503319622460579E-2</v>
      </c>
      <c r="AQ50">
        <f t="shared" si="283"/>
        <v>0</v>
      </c>
      <c r="AR50">
        <f t="shared" si="284"/>
        <v>1</v>
      </c>
      <c r="AS50">
        <f t="shared" si="285"/>
        <v>0</v>
      </c>
      <c r="AV50" s="10"/>
      <c r="AZ50">
        <v>0</v>
      </c>
      <c r="BA50">
        <v>1</v>
      </c>
      <c r="BB50">
        <v>0</v>
      </c>
      <c r="BE50" s="5">
        <f>Peremszámok!$N26-BH37</f>
        <v>-183596.92501275241</v>
      </c>
      <c r="BF50" s="48">
        <f>BE50/Peremszámok!$N26</f>
        <v>-6.102242289624661E-3</v>
      </c>
      <c r="BI50">
        <f t="shared" si="286"/>
        <v>0</v>
      </c>
      <c r="BJ50">
        <f t="shared" si="287"/>
        <v>1</v>
      </c>
      <c r="BK50">
        <f t="shared" si="288"/>
        <v>0</v>
      </c>
      <c r="BN50" s="5">
        <f>Peremszámok!$N27-BQ37</f>
        <v>-694213.56479884684</v>
      </c>
      <c r="BO50" s="48">
        <f>BN50/Peremszámok!$N27</f>
        <v>-2.2121215521787616E-2</v>
      </c>
      <c r="BR50">
        <f t="shared" si="289"/>
        <v>0</v>
      </c>
      <c r="BS50">
        <f t="shared" si="290"/>
        <v>1</v>
      </c>
      <c r="BT50">
        <f t="shared" si="291"/>
        <v>0</v>
      </c>
      <c r="BW50" s="5">
        <f>Peremszámok!$N28-BZ37</f>
        <v>-1659420.338230025</v>
      </c>
      <c r="BX50" s="48">
        <f>BW50/Peremszámok!$N28</f>
        <v>-5.0069296721917941E-2</v>
      </c>
      <c r="CA50">
        <f>$CS$50</f>
        <v>0</v>
      </c>
      <c r="CB50">
        <f>$CT$50</f>
        <v>1</v>
      </c>
      <c r="CC50">
        <f>$CU$50</f>
        <v>0</v>
      </c>
      <c r="CF50" s="5">
        <f>Peremszámok!$N29-CI37</f>
        <v>-2058667.269993037</v>
      </c>
      <c r="CG50" s="48">
        <f>CF50/Peremszámok!$N29</f>
        <v>-5.9318864648186073E-2</v>
      </c>
      <c r="CJ50">
        <f>$CS$50</f>
        <v>0</v>
      </c>
      <c r="CK50">
        <f>$CT$50</f>
        <v>1</v>
      </c>
      <c r="CL50">
        <f>$CU$50</f>
        <v>0</v>
      </c>
      <c r="CO50" s="5">
        <f>Peremszámok!$N30-CR37</f>
        <v>-2201094.1512612775</v>
      </c>
      <c r="CP50" s="48">
        <f>CO50/Peremszámok!$N30</f>
        <v>-6.3758129546235304E-2</v>
      </c>
      <c r="CS50">
        <v>0</v>
      </c>
      <c r="CT50">
        <v>1</v>
      </c>
      <c r="CU50">
        <v>0</v>
      </c>
      <c r="CX50" s="5">
        <f>Peremszámok!$N31-DA37</f>
        <v>-2593750.6351030767</v>
      </c>
      <c r="CY50" s="48">
        <f>CX50/Peremszámok!$N29</f>
        <v>-7.4736867437226254E-2</v>
      </c>
      <c r="DB50">
        <f>$CS$50</f>
        <v>0</v>
      </c>
      <c r="DC50">
        <f>$CT$50</f>
        <v>1</v>
      </c>
      <c r="DD50">
        <f>$CU$50</f>
        <v>0</v>
      </c>
      <c r="DG50" s="5">
        <f>Peremszámok!$N32-DJ37</f>
        <v>-2897192.4481617585</v>
      </c>
      <c r="DH50" s="48">
        <f>DG50/Peremszámok!$N29</f>
        <v>-8.3480302619682423E-2</v>
      </c>
      <c r="DK50">
        <f>$CS$50</f>
        <v>0</v>
      </c>
      <c r="DL50">
        <f>$CT$50</f>
        <v>1</v>
      </c>
      <c r="DM50">
        <f>$CU$50</f>
        <v>0</v>
      </c>
      <c r="DP50" s="5">
        <f>Peremszámok!$N33-DS37</f>
        <v>-3200634.2612199634</v>
      </c>
      <c r="DQ50" s="48">
        <f>DP50/Peremszámok!$N29</f>
        <v>-9.2223737802124867E-2</v>
      </c>
      <c r="DT50">
        <f>$CS$50</f>
        <v>0</v>
      </c>
      <c r="DU50">
        <f>$CT$50</f>
        <v>1</v>
      </c>
      <c r="DV50">
        <f>$CU$50</f>
        <v>0</v>
      </c>
      <c r="DY50" s="5">
        <f>Peremszámok!$N34-EB37</f>
        <v>-3504076.0742787346</v>
      </c>
      <c r="DZ50" s="48">
        <f>DY50/Peremszámok!$N29</f>
        <v>-0.10096717298458362</v>
      </c>
      <c r="EC50">
        <f>$CS$50</f>
        <v>0</v>
      </c>
      <c r="ED50">
        <f>$CT$50</f>
        <v>1</v>
      </c>
      <c r="EE50">
        <f>$CU$50</f>
        <v>0</v>
      </c>
      <c r="EH50" s="5">
        <f>Peremszámok!$N35-EK37</f>
        <v>-3807517.8873375356</v>
      </c>
      <c r="EI50" s="48">
        <f>EH50/Peremszámok!$N29</f>
        <v>-0.10971060816704323</v>
      </c>
      <c r="EL50">
        <f>$CS$50</f>
        <v>0</v>
      </c>
      <c r="EM50">
        <f>$CT$50</f>
        <v>1</v>
      </c>
      <c r="EN50">
        <f>$CU$50</f>
        <v>0</v>
      </c>
    </row>
    <row r="51" spans="2:144" ht="15" thickBot="1" x14ac:dyDescent="0.4">
      <c r="B51" t="s">
        <v>81</v>
      </c>
      <c r="C51" s="5">
        <f>Peremszámok!$S20-K31</f>
        <v>559959.01435848232</v>
      </c>
      <c r="D51" s="48">
        <f>C51/Peremszámok!$S20</f>
        <v>0.10731750578220604</v>
      </c>
      <c r="G51">
        <v>0</v>
      </c>
      <c r="H51">
        <v>0</v>
      </c>
      <c r="I51">
        <v>1</v>
      </c>
      <c r="L51" s="5">
        <f>Peremszámok!$S21-T31</f>
        <v>583127.99713022076</v>
      </c>
      <c r="M51" s="48">
        <f>L51/Peremszámok!$S21</f>
        <v>0.11017273893574323</v>
      </c>
      <c r="P51">
        <f t="shared" si="274"/>
        <v>0</v>
      </c>
      <c r="Q51">
        <f t="shared" si="275"/>
        <v>0</v>
      </c>
      <c r="R51">
        <f t="shared" si="276"/>
        <v>1</v>
      </c>
      <c r="U51" s="5">
        <f>Peremszámok!$S22-AC31</f>
        <v>626654.08444537502</v>
      </c>
      <c r="V51" s="48">
        <f>U51/Peremszámok!$S22</f>
        <v>0.12000434420554423</v>
      </c>
      <c r="Y51">
        <f t="shared" si="277"/>
        <v>0</v>
      </c>
      <c r="Z51">
        <f t="shared" si="278"/>
        <v>0</v>
      </c>
      <c r="AA51">
        <f t="shared" si="279"/>
        <v>1</v>
      </c>
      <c r="AD51" s="5">
        <f>Peremszámok!$S23-AL31</f>
        <v>165092.01525915787</v>
      </c>
      <c r="AE51" s="48">
        <f>AD51/Peremszámok!$S23</f>
        <v>3.2057382849421723E-2</v>
      </c>
      <c r="AH51">
        <f t="shared" si="280"/>
        <v>0</v>
      </c>
      <c r="AI51">
        <f t="shared" si="281"/>
        <v>0</v>
      </c>
      <c r="AJ51">
        <f t="shared" si="282"/>
        <v>1</v>
      </c>
      <c r="AM51" s="5">
        <f>Peremszámok!$S24-AU31</f>
        <v>60940.083792450838</v>
      </c>
      <c r="AN51" s="48">
        <f>AM51/Peremszámok!$S24</f>
        <v>1.1490939788442721E-2</v>
      </c>
      <c r="AQ51">
        <f t="shared" si="283"/>
        <v>0</v>
      </c>
      <c r="AR51">
        <f t="shared" si="284"/>
        <v>0</v>
      </c>
      <c r="AS51">
        <f t="shared" si="285"/>
        <v>1</v>
      </c>
      <c r="AV51" s="10"/>
      <c r="AZ51">
        <v>0</v>
      </c>
      <c r="BA51">
        <v>0</v>
      </c>
      <c r="BB51">
        <v>1</v>
      </c>
      <c r="BE51" s="5">
        <f>Peremszámok!$S26-BM31</f>
        <v>27817.919337556697</v>
      </c>
      <c r="BF51" s="48">
        <f>BE51/Peremszámok!$S26</f>
        <v>4.9691067670750285E-3</v>
      </c>
      <c r="BI51">
        <f t="shared" si="286"/>
        <v>0</v>
      </c>
      <c r="BJ51">
        <f t="shared" si="287"/>
        <v>0</v>
      </c>
      <c r="BK51">
        <f t="shared" si="288"/>
        <v>1</v>
      </c>
      <c r="BN51" s="5">
        <f>Peremszámok!$S27-BV31</f>
        <v>-27354.045413564891</v>
      </c>
      <c r="BO51" s="48">
        <f>BN51/Peremszámok!$S27</f>
        <v>-4.6813787730539385E-3</v>
      </c>
      <c r="BR51">
        <f t="shared" si="289"/>
        <v>0</v>
      </c>
      <c r="BS51">
        <f t="shared" si="290"/>
        <v>0</v>
      </c>
      <c r="BT51">
        <f t="shared" si="291"/>
        <v>1</v>
      </c>
      <c r="BW51" s="5">
        <f>Peremszámok!$S28-CE31</f>
        <v>113534.61170982383</v>
      </c>
      <c r="BX51" s="48">
        <f>BW51/Peremszámok!$S28</f>
        <v>1.8627250663523019E-2</v>
      </c>
      <c r="CA51">
        <f>$CS$51</f>
        <v>0</v>
      </c>
      <c r="CB51">
        <f>$CT$51</f>
        <v>0</v>
      </c>
      <c r="CC51">
        <f>$CU$51</f>
        <v>1</v>
      </c>
      <c r="CF51" s="5">
        <f>Peremszámok!$S29-CN31</f>
        <v>30474.105818558484</v>
      </c>
      <c r="CG51" s="48">
        <f>CF51/Peremszámok!$S29</f>
        <v>4.8151303885548072E-3</v>
      </c>
      <c r="CJ51">
        <f>$CS$51</f>
        <v>0</v>
      </c>
      <c r="CK51">
        <f>$CT$51</f>
        <v>0</v>
      </c>
      <c r="CL51">
        <f>$CU$51</f>
        <v>1</v>
      </c>
      <c r="CO51" s="5">
        <f>Peremszámok!$S30-CW31</f>
        <v>16094.395583334379</v>
      </c>
      <c r="CP51" s="48">
        <f>CO51/Peremszámok!$S30</f>
        <v>2.5828519790240452E-3</v>
      </c>
      <c r="CS51">
        <v>0</v>
      </c>
      <c r="CT51">
        <v>0</v>
      </c>
      <c r="CU51">
        <v>1</v>
      </c>
      <c r="CX51" s="5">
        <f>Peremszámok!$S31-DF31</f>
        <v>-55557.720026662573</v>
      </c>
      <c r="CY51" s="48">
        <f>CX51/Peremszámok!$S29</f>
        <v>-8.7785238921198102E-3</v>
      </c>
      <c r="DB51">
        <f>$CS$51</f>
        <v>0</v>
      </c>
      <c r="DC51">
        <f>$CT$51</f>
        <v>0</v>
      </c>
      <c r="DD51">
        <f>$CU$51</f>
        <v>1</v>
      </c>
      <c r="DG51" s="5">
        <f>Peremszámok!$S32-DO31</f>
        <v>-111952.36653031688</v>
      </c>
      <c r="DH51" s="48">
        <f>DG51/Peremszámok!$S29</f>
        <v>-1.768928825542335E-2</v>
      </c>
      <c r="DK51">
        <f>$CS$51</f>
        <v>0</v>
      </c>
      <c r="DL51">
        <f>$CT$51</f>
        <v>0</v>
      </c>
      <c r="DM51">
        <f>$CU$51</f>
        <v>1</v>
      </c>
      <c r="DP51" s="5">
        <f>Peremszámok!$S33-DX31</f>
        <v>-168347.01303397305</v>
      </c>
      <c r="DQ51" s="48">
        <f>DP51/Peremszámok!$S29</f>
        <v>-2.6600052618727183E-2</v>
      </c>
      <c r="DT51">
        <f>$CS$51</f>
        <v>0</v>
      </c>
      <c r="DU51">
        <f>$CT$51</f>
        <v>0</v>
      </c>
      <c r="DV51">
        <f>$CU$51</f>
        <v>1</v>
      </c>
      <c r="DY51" s="5">
        <f>Peremszámok!$S34-EG31</f>
        <v>-224741.65953716915</v>
      </c>
      <c r="DZ51" s="48">
        <f>DY51/Peremszámok!$S29</f>
        <v>-3.5510816981958321E-2</v>
      </c>
      <c r="EC51">
        <f>$CS$51</f>
        <v>0</v>
      </c>
      <c r="ED51">
        <f>$CT$51</f>
        <v>0</v>
      </c>
      <c r="EE51">
        <f>$CU$51</f>
        <v>1</v>
      </c>
      <c r="EH51" s="5">
        <f>Peremszámok!$S35-EP31</f>
        <v>-281136.30604038201</v>
      </c>
      <c r="EI51" s="48">
        <f>EH51/Peremszámok!$S29</f>
        <v>-4.4421581345192106E-2</v>
      </c>
      <c r="EL51">
        <f>$CS$51</f>
        <v>0</v>
      </c>
      <c r="EM51">
        <f>$CT$51</f>
        <v>0</v>
      </c>
      <c r="EN51">
        <f>$CU$51</f>
        <v>1</v>
      </c>
    </row>
    <row r="52" spans="2:144" x14ac:dyDescent="0.35">
      <c r="B52" t="s">
        <v>30</v>
      </c>
      <c r="C52" s="5">
        <f>Peremszámok!$X20-F37-K31</f>
        <v>1010239.6878502993</v>
      </c>
      <c r="D52" s="48">
        <f>C52/Peremszámok!$X20</f>
        <v>3.2040800492674278E-2</v>
      </c>
      <c r="G52" s="261">
        <v>0.83780773913983508</v>
      </c>
      <c r="H52" s="262">
        <v>-9.4002297732066031E-2</v>
      </c>
      <c r="I52" s="263">
        <v>-7.7367936056411388E-2</v>
      </c>
      <c r="L52" s="5">
        <f>Peremszámok!$X21-O37-T31</f>
        <v>803609.27497271635</v>
      </c>
      <c r="M52" s="48">
        <f>L52/Peremszámok!$X21</f>
        <v>2.5002968231403543E-2</v>
      </c>
      <c r="P52" s="323">
        <f t="shared" si="274"/>
        <v>0.83780773913983508</v>
      </c>
      <c r="Q52" s="297">
        <f t="shared" si="275"/>
        <v>-9.4002297732066031E-2</v>
      </c>
      <c r="R52" s="324">
        <f t="shared" si="276"/>
        <v>-7.7367936056411388E-2</v>
      </c>
      <c r="U52" s="5">
        <f>Peremszámok!$X22-X37-AC31</f>
        <v>1066320.467383652</v>
      </c>
      <c r="V52" s="48">
        <f>U52/Peremszámok!$X22</f>
        <v>3.3641249258837734E-2</v>
      </c>
      <c r="Y52" s="91">
        <f t="shared" si="277"/>
        <v>0.83780773913983508</v>
      </c>
      <c r="Z52" s="91">
        <f t="shared" si="278"/>
        <v>-9.4002297732066031E-2</v>
      </c>
      <c r="AA52" s="91">
        <f t="shared" si="279"/>
        <v>-7.7367936056411388E-2</v>
      </c>
      <c r="AD52" s="5">
        <f>Peremszámok!$X23-AG37-AL31</f>
        <v>1096263.7506984472</v>
      </c>
      <c r="AE52" s="48">
        <f>AD52/Peremszámok!$X23</f>
        <v>3.395412558721677E-2</v>
      </c>
      <c r="AH52" s="91">
        <f t="shared" si="280"/>
        <v>0.85781023951315372</v>
      </c>
      <c r="AI52" s="91">
        <f t="shared" si="281"/>
        <v>-8.5089296974308448E-2</v>
      </c>
      <c r="AJ52" s="91">
        <f t="shared" si="282"/>
        <v>-6.7657969752189448E-2</v>
      </c>
      <c r="AM52" s="5">
        <f>Peremszámok!$X24-AP37-AU31</f>
        <v>387044.04669975024</v>
      </c>
      <c r="AN52" s="48">
        <f>AM52/Peremszámok!$X24</f>
        <v>1.1501368648593423E-2</v>
      </c>
      <c r="AQ52" s="91">
        <f t="shared" si="283"/>
        <v>0.85781023951315372</v>
      </c>
      <c r="AR52" s="91">
        <f t="shared" si="284"/>
        <v>-8.5089296974308448E-2</v>
      </c>
      <c r="AS52" s="91">
        <f t="shared" si="285"/>
        <v>-6.7657969752189448E-2</v>
      </c>
      <c r="AV52" s="10"/>
      <c r="AZ52" s="86">
        <f>AZ49-('[5]Tény 2015'!D91/'[5]Tény 2015'!D$106)</f>
        <v>0.85781023951315372</v>
      </c>
      <c r="BA52" s="86">
        <f>BA49-('[5]Tény 2015'!E91/'[5]Tény 2015'!E$106)</f>
        <v>-8.5089296974308448E-2</v>
      </c>
      <c r="BB52" s="86">
        <f>BB49-('[5]Tény 2015'!F91/'[5]Tény 2015'!F$106)</f>
        <v>-6.7657969752189448E-2</v>
      </c>
      <c r="BE52" s="5">
        <f>Peremszámok!$X26-BH37-BM31</f>
        <v>-155779.00567519572</v>
      </c>
      <c r="BF52" s="48">
        <f>BE52/Peremszámok!$X26</f>
        <v>-4.3653954501067455E-3</v>
      </c>
      <c r="BI52" s="91">
        <f t="shared" si="286"/>
        <v>0.85781023951315372</v>
      </c>
      <c r="BJ52" s="91">
        <f t="shared" si="287"/>
        <v>-8.5089296974308448E-2</v>
      </c>
      <c r="BK52" s="91">
        <f t="shared" si="288"/>
        <v>-6.7657969752189448E-2</v>
      </c>
      <c r="BN52" s="5">
        <f>Peremszámok!$X27-BQ37-BV31</f>
        <v>-721567.61021241173</v>
      </c>
      <c r="BO52" s="48">
        <f>BN52/Peremszámok!$X27</f>
        <v>-1.9383737247364974E-2</v>
      </c>
      <c r="BR52" s="91">
        <f t="shared" si="289"/>
        <v>0.85781023951315372</v>
      </c>
      <c r="BS52" s="91">
        <f t="shared" si="290"/>
        <v>-8.5089296974308448E-2</v>
      </c>
      <c r="BT52" s="91">
        <f t="shared" si="291"/>
        <v>-6.7657969752189448E-2</v>
      </c>
      <c r="BW52" s="5">
        <f>Peremszámok!$X28-BZ37-CE31</f>
        <v>-1545885.7265202012</v>
      </c>
      <c r="BX52" s="48">
        <f>BW52/Peremszámok!$X28</f>
        <v>-3.9398115556662699E-2</v>
      </c>
      <c r="CA52" s="91">
        <f>$CS$52</f>
        <v>0.86243037272311263</v>
      </c>
      <c r="CB52" s="91">
        <f>$CT$52</f>
        <v>-8.7451558491454792E-2</v>
      </c>
      <c r="CC52" s="91">
        <f>$CU$52</f>
        <v>-6.9568398225409236E-2</v>
      </c>
      <c r="CF52" s="5">
        <f>Peremszámok!$X29-CI37-CN31</f>
        <v>-2028193.1641744785</v>
      </c>
      <c r="CG52" s="48">
        <f>CF52/Peremszámok!$X29</f>
        <v>-4.9427228027916756E-2</v>
      </c>
      <c r="CJ52" s="91">
        <f>$CS$52</f>
        <v>0.86243037272311263</v>
      </c>
      <c r="CK52" s="91">
        <f>$CT$52</f>
        <v>-8.7451558491454792E-2</v>
      </c>
      <c r="CL52" s="91">
        <f>$CU$52</f>
        <v>-6.9568398225409236E-2</v>
      </c>
      <c r="CO52" s="5">
        <f>Peremszámok!$X30-CR37-CW31</f>
        <v>-2184999.7556779431</v>
      </c>
      <c r="CP52" s="48">
        <f>CO52/Peremszámok!$X30</f>
        <v>-5.3614607357933462E-2</v>
      </c>
      <c r="CS52" s="86">
        <f>CS49-'[6]ÁKM agg 3x3'!C4/'[6]ÁKM agg 3x3'!C$16</f>
        <v>0.86243037272311263</v>
      </c>
      <c r="CT52" s="86">
        <f>CT49-'[6]ÁKM agg 3x3'!D4/'[6]ÁKM agg 3x3'!D$16</f>
        <v>-8.7451558491454792E-2</v>
      </c>
      <c r="CU52" s="86">
        <f>CU49-'[6]ÁKM agg 3x3'!E4/'[6]ÁKM agg 3x3'!E$16</f>
        <v>-6.9568398225409236E-2</v>
      </c>
      <c r="CX52" s="5">
        <f>Peremszámok!$X31-DA37-DF31</f>
        <v>-2649308.3551297393</v>
      </c>
      <c r="CY52" s="48">
        <f>CX52/Peremszámok!$X29</f>
        <v>-6.4563854418946104E-2</v>
      </c>
      <c r="DB52" s="91">
        <f>$CS$52</f>
        <v>0.86243037272311263</v>
      </c>
      <c r="DC52" s="91">
        <f>$CT$52</f>
        <v>-8.7451558491454792E-2</v>
      </c>
      <c r="DD52" s="91">
        <f>$CU$52</f>
        <v>-6.9568398225409236E-2</v>
      </c>
      <c r="DG52" s="5">
        <f>Peremszámok!$X32-DJ37-DO31</f>
        <v>-3009144.8146920754</v>
      </c>
      <c r="DH52" s="48">
        <f>DG52/Peremszámok!$X29</f>
        <v>-7.3333097434704439E-2</v>
      </c>
      <c r="DK52" s="91">
        <f>$CS$52</f>
        <v>0.86243037272311263</v>
      </c>
      <c r="DL52" s="91">
        <f>$CT$52</f>
        <v>-8.7451558491454792E-2</v>
      </c>
      <c r="DM52" s="91">
        <f>$CU$52</f>
        <v>-6.9568398225409236E-2</v>
      </c>
      <c r="DP52" s="5">
        <f>Peremszámok!$X33-DS37-DX31</f>
        <v>-3368981.2742539365</v>
      </c>
      <c r="DQ52" s="48">
        <f>DP52/Peremszámok!$X29</f>
        <v>-8.21023404504512E-2</v>
      </c>
      <c r="DT52" s="91">
        <f>$CS$52</f>
        <v>0.86243037272311263</v>
      </c>
      <c r="DU52" s="91">
        <f>$CT$52</f>
        <v>-8.7451558491454792E-2</v>
      </c>
      <c r="DV52" s="91">
        <f>$CU$52</f>
        <v>-6.9568398225409236E-2</v>
      </c>
      <c r="DY52" s="5">
        <f>Peremszámok!$X34-EB37-EG31</f>
        <v>-3728817.7338159038</v>
      </c>
      <c r="DZ52" s="48">
        <f>DY52/Peremszámok!$X29</f>
        <v>-9.0871583466200542E-2</v>
      </c>
      <c r="EC52" s="91">
        <f>$CS$52</f>
        <v>0.86243037272311263</v>
      </c>
      <c r="ED52" s="91">
        <f>$CT$52</f>
        <v>-8.7451558491454792E-2</v>
      </c>
      <c r="EE52" s="91">
        <f>$CU$52</f>
        <v>-6.9568398225409236E-2</v>
      </c>
      <c r="EH52" s="5">
        <f>Peremszámok!$X35-EK37-EP31</f>
        <v>-4088654.1933779176</v>
      </c>
      <c r="EI52" s="48">
        <f>EH52/Peremszámok!$X29</f>
        <v>-9.9640826481951009E-2</v>
      </c>
      <c r="EL52" s="91">
        <f>$CS$52</f>
        <v>0.86243037272311263</v>
      </c>
      <c r="EM52" s="91">
        <f>$CT$52</f>
        <v>-8.7451558491454792E-2</v>
      </c>
      <c r="EN52" s="91">
        <f>$CU$52</f>
        <v>-6.9568398225409236E-2</v>
      </c>
    </row>
    <row r="53" spans="2:144" x14ac:dyDescent="0.35">
      <c r="B53" t="s">
        <v>24</v>
      </c>
      <c r="C53" s="5">
        <f>Peremszámok!$AG20-G32</f>
        <v>0</v>
      </c>
      <c r="D53" s="48">
        <f>C53/Peremszámok!$AG20</f>
        <v>0</v>
      </c>
      <c r="G53" s="264">
        <v>-0.15398365716223522</v>
      </c>
      <c r="H53" s="265">
        <v>0.82587442605000183</v>
      </c>
      <c r="I53" s="266">
        <v>-0.17152767483322984</v>
      </c>
      <c r="L53" s="5">
        <f>Peremszámok!$AG21-P32</f>
        <v>0</v>
      </c>
      <c r="M53" s="48">
        <f>L53/Peremszámok!$AG21</f>
        <v>0</v>
      </c>
      <c r="P53" s="325">
        <f t="shared" si="274"/>
        <v>-0.15398365716223522</v>
      </c>
      <c r="Q53" s="300">
        <f t="shared" si="275"/>
        <v>0.82587442605000183</v>
      </c>
      <c r="R53" s="326">
        <f t="shared" si="276"/>
        <v>-0.17152767483322984</v>
      </c>
      <c r="U53" s="5">
        <f>Peremszámok!$AG22-Y32</f>
        <v>0</v>
      </c>
      <c r="V53" s="48">
        <f>U53/Peremszámok!$AG22</f>
        <v>0</v>
      </c>
      <c r="Y53" s="91">
        <f t="shared" si="277"/>
        <v>-0.15398365716223522</v>
      </c>
      <c r="Z53" s="91">
        <f t="shared" si="278"/>
        <v>0.82587442605000183</v>
      </c>
      <c r="AA53" s="91">
        <f t="shared" si="279"/>
        <v>-0.17152767483322984</v>
      </c>
      <c r="AD53" s="5">
        <f>Peremszámok!$AG23-AH32</f>
        <v>0</v>
      </c>
      <c r="AE53" s="48">
        <f>AD53/Peremszámok!$AG23</f>
        <v>0</v>
      </c>
      <c r="AH53" s="91">
        <f t="shared" si="280"/>
        <v>-0.13407804266684359</v>
      </c>
      <c r="AI53" s="91">
        <f t="shared" si="281"/>
        <v>0.83748527591057176</v>
      </c>
      <c r="AJ53" s="91">
        <f t="shared" si="282"/>
        <v>-0.15474592220476291</v>
      </c>
      <c r="AM53" s="5">
        <f>Peremszámok!$AG24-AQ32</f>
        <v>0</v>
      </c>
      <c r="AN53" s="48">
        <f>AM53/Peremszámok!$AG24</f>
        <v>0</v>
      </c>
      <c r="AQ53" s="91">
        <f t="shared" si="283"/>
        <v>-0.13407804266684359</v>
      </c>
      <c r="AR53" s="91">
        <f t="shared" si="284"/>
        <v>0.83748527591057176</v>
      </c>
      <c r="AS53" s="91">
        <f t="shared" si="285"/>
        <v>-0.15474592220476291</v>
      </c>
      <c r="AV53" s="10"/>
      <c r="AZ53" s="86">
        <f>AZ50-('[5]Tény 2015'!D92/'[5]Tény 2015'!D$106)</f>
        <v>-0.13407804266684359</v>
      </c>
      <c r="BA53" s="86">
        <f>BA50-('[5]Tény 2015'!E92/'[5]Tény 2015'!E$106)</f>
        <v>0.83748527591057176</v>
      </c>
      <c r="BB53" s="86">
        <f>BB50-('[5]Tény 2015'!F92/'[5]Tény 2015'!F$106)</f>
        <v>-0.15474592220476291</v>
      </c>
      <c r="BE53" s="5">
        <f>Peremszámok!$AG26-BI32</f>
        <v>0</v>
      </c>
      <c r="BF53" s="48">
        <f>BE53/Peremszámok!$AG26</f>
        <v>0</v>
      </c>
      <c r="BI53" s="91">
        <f t="shared" si="286"/>
        <v>-0.13407804266684359</v>
      </c>
      <c r="BJ53" s="91">
        <f t="shared" si="287"/>
        <v>0.83748527591057176</v>
      </c>
      <c r="BK53" s="91">
        <f t="shared" si="288"/>
        <v>-0.15474592220476291</v>
      </c>
      <c r="BN53" s="5">
        <f>Peremszámok!$AG27-BR32</f>
        <v>0</v>
      </c>
      <c r="BO53" s="48">
        <f>BN53/Peremszámok!$AG27</f>
        <v>0</v>
      </c>
      <c r="BR53" s="91">
        <f t="shared" si="289"/>
        <v>-0.13407804266684359</v>
      </c>
      <c r="BS53" s="91">
        <f t="shared" si="290"/>
        <v>0.83748527591057176</v>
      </c>
      <c r="BT53" s="91">
        <f t="shared" si="291"/>
        <v>-0.15474592220476291</v>
      </c>
      <c r="BW53" s="5">
        <f>Peremszámok!$AG28-CA32</f>
        <v>0</v>
      </c>
      <c r="BX53" s="48">
        <f>BW53/Peremszámok!$AG28</f>
        <v>0</v>
      </c>
      <c r="CA53" s="91">
        <f>$CS$53</f>
        <v>-0.13179130692484739</v>
      </c>
      <c r="CB53" s="91">
        <f>$CT$53</f>
        <v>0.83818039969115443</v>
      </c>
      <c r="CC53" s="91">
        <f>$CU$53</f>
        <v>-0.15464205397671732</v>
      </c>
      <c r="CF53" s="5">
        <f>Peremszámok!$AG29-CJ32</f>
        <v>0</v>
      </c>
      <c r="CG53" s="48">
        <f>CF53/Peremszámok!$AG29</f>
        <v>0</v>
      </c>
      <c r="CJ53" s="91">
        <f>$CS$53</f>
        <v>-0.13179130692484739</v>
      </c>
      <c r="CK53" s="91">
        <f>$CT$53</f>
        <v>0.83818039969115443</v>
      </c>
      <c r="CL53" s="91">
        <f>$CU$53</f>
        <v>-0.15464205397671732</v>
      </c>
      <c r="CO53" s="5">
        <f>Peremszámok!$AG30-CS32</f>
        <v>0</v>
      </c>
      <c r="CP53" s="48">
        <f>CO53/Peremszámok!$AG30</f>
        <v>0</v>
      </c>
      <c r="CS53" s="86">
        <f>CS50-'[6]ÁKM agg 3x3'!C5/'[6]ÁKM agg 3x3'!C$16</f>
        <v>-0.13179130692484739</v>
      </c>
      <c r="CT53" s="86">
        <f>CT50-'[6]ÁKM agg 3x3'!D5/'[6]ÁKM agg 3x3'!D$16</f>
        <v>0.83818039969115443</v>
      </c>
      <c r="CU53" s="86">
        <f>CU50-'[6]ÁKM agg 3x3'!E5/'[6]ÁKM agg 3x3'!E$16</f>
        <v>-0.15464205397671732</v>
      </c>
      <c r="CX53" s="5">
        <f>Peremszámok!$AG31-DB32</f>
        <v>0</v>
      </c>
      <c r="CY53" s="48">
        <f>CX53/Peremszámok!$AG29</f>
        <v>0</v>
      </c>
      <c r="DB53" s="91">
        <f>$CS$53</f>
        <v>-0.13179130692484739</v>
      </c>
      <c r="DC53" s="91">
        <f>$CT$53</f>
        <v>0.83818039969115443</v>
      </c>
      <c r="DD53" s="91">
        <f>$CU$53</f>
        <v>-0.15464205397671732</v>
      </c>
      <c r="DG53" s="5">
        <f>Peremszámok!$AG32-DK32</f>
        <v>0</v>
      </c>
      <c r="DH53" s="48">
        <f>DG53/Peremszámok!$AG29</f>
        <v>0</v>
      </c>
      <c r="DK53" s="91">
        <f>$CS$53</f>
        <v>-0.13179130692484739</v>
      </c>
      <c r="DL53" s="91">
        <f>$CT$53</f>
        <v>0.83818039969115443</v>
      </c>
      <c r="DM53" s="91">
        <f>$CU$53</f>
        <v>-0.15464205397671732</v>
      </c>
      <c r="DP53" s="5">
        <f>Peremszámok!$AG33-DT32</f>
        <v>0</v>
      </c>
      <c r="DQ53" s="48">
        <f>DP53/Peremszámok!$AG29</f>
        <v>0</v>
      </c>
      <c r="DT53" s="91">
        <f>$CS$53</f>
        <v>-0.13179130692484739</v>
      </c>
      <c r="DU53" s="91">
        <f>$CT$53</f>
        <v>0.83818039969115443</v>
      </c>
      <c r="DV53" s="91">
        <f>$CU$53</f>
        <v>-0.15464205397671732</v>
      </c>
      <c r="DY53" s="5">
        <f>Peremszámok!$AG34-EC32</f>
        <v>0</v>
      </c>
      <c r="DZ53" s="48">
        <f>DY53/Peremszámok!$AG29</f>
        <v>0</v>
      </c>
      <c r="EC53" s="91">
        <f>$CS$53</f>
        <v>-0.13179130692484739</v>
      </c>
      <c r="ED53" s="91">
        <f>$CT$53</f>
        <v>0.83818039969115443</v>
      </c>
      <c r="EE53" s="91">
        <f>$CU$53</f>
        <v>-0.15464205397671732</v>
      </c>
      <c r="EH53" s="5">
        <f>Peremszámok!$AG35-EL32</f>
        <v>0</v>
      </c>
      <c r="EI53" s="48">
        <f>EH53/Peremszámok!$AG29</f>
        <v>0</v>
      </c>
      <c r="EL53" s="91">
        <f>$CS$53</f>
        <v>-0.13179130692484739</v>
      </c>
      <c r="EM53" s="91">
        <f>$CT$53</f>
        <v>0.83818039969115443</v>
      </c>
      <c r="EN53" s="91">
        <f>$CU$53</f>
        <v>-0.15464205397671732</v>
      </c>
    </row>
    <row r="54" spans="2:144" ht="15" thickBot="1" x14ac:dyDescent="0.4">
      <c r="B54" t="s">
        <v>25</v>
      </c>
      <c r="C54" s="5">
        <f>Peremszámok!$AM20-H32</f>
        <v>0</v>
      </c>
      <c r="D54" s="48">
        <f>C54/Peremszámok!$AM20</f>
        <v>0</v>
      </c>
      <c r="G54" s="267">
        <v>-1.8124257625753981E-2</v>
      </c>
      <c r="H54" s="268">
        <v>-1.2689747546460017E-2</v>
      </c>
      <c r="I54" s="269">
        <v>0.95715268735351267</v>
      </c>
      <c r="L54" s="5">
        <f>Peremszámok!$AM21-Q32</f>
        <v>0</v>
      </c>
      <c r="M54" s="48">
        <f>L54/Peremszámok!$AM21</f>
        <v>0</v>
      </c>
      <c r="P54" s="327">
        <f t="shared" si="274"/>
        <v>-1.8124257625753981E-2</v>
      </c>
      <c r="Q54" s="303">
        <f t="shared" si="275"/>
        <v>-1.2689747546460017E-2</v>
      </c>
      <c r="R54" s="328">
        <f t="shared" si="276"/>
        <v>0.95715268735351267</v>
      </c>
      <c r="U54" s="5">
        <f>Peremszámok!$AM22-Z32</f>
        <v>0</v>
      </c>
      <c r="V54" s="48">
        <f>U54/Peremszámok!$AM22</f>
        <v>0</v>
      </c>
      <c r="Y54" s="91">
        <f t="shared" si="277"/>
        <v>-1.8124257625753981E-2</v>
      </c>
      <c r="Z54" s="91">
        <f t="shared" si="278"/>
        <v>-1.2689747546460017E-2</v>
      </c>
      <c r="AA54" s="91">
        <f t="shared" si="279"/>
        <v>0.95715268735351267</v>
      </c>
      <c r="AD54" s="5">
        <f>Peremszámok!$AM23-AI32</f>
        <v>0</v>
      </c>
      <c r="AE54" s="48">
        <f>AD54/Peremszámok!$AM23</f>
        <v>0</v>
      </c>
      <c r="AH54" s="91">
        <f t="shared" si="280"/>
        <v>-1.8588548954265535E-2</v>
      </c>
      <c r="AI54" s="91">
        <f t="shared" si="281"/>
        <v>-1.1821067113705588E-2</v>
      </c>
      <c r="AJ54" s="91">
        <f t="shared" si="282"/>
        <v>0.95905356984633827</v>
      </c>
      <c r="AM54" s="5">
        <f>Peremszámok!$AM24-AR32</f>
        <v>0</v>
      </c>
      <c r="AN54" s="48">
        <f>AM54/Peremszámok!$AM24</f>
        <v>0</v>
      </c>
      <c r="AQ54" s="91">
        <f t="shared" si="283"/>
        <v>-1.8588548954265535E-2</v>
      </c>
      <c r="AR54" s="91">
        <f t="shared" si="284"/>
        <v>-1.1821067113705588E-2</v>
      </c>
      <c r="AS54" s="91">
        <f t="shared" si="285"/>
        <v>0.95905356984633827</v>
      </c>
      <c r="AV54" s="10"/>
      <c r="AZ54" s="86">
        <f>AZ51-('[5]Tény 2015'!D93/'[5]Tény 2015'!D$106)</f>
        <v>-1.8588548954265535E-2</v>
      </c>
      <c r="BA54" s="86">
        <f>BA51-('[5]Tény 2015'!E93/'[5]Tény 2015'!E$106)</f>
        <v>-1.1821067113705588E-2</v>
      </c>
      <c r="BB54" s="86">
        <f>BB51-('[5]Tény 2015'!F93/'[5]Tény 2015'!F$106)</f>
        <v>0.95905356984633827</v>
      </c>
      <c r="BE54" s="5">
        <f>Peremszámok!$AM26-BJ32</f>
        <v>0</v>
      </c>
      <c r="BF54" s="48">
        <f>BE54/Peremszámok!$AM26</f>
        <v>0</v>
      </c>
      <c r="BI54" s="91">
        <f t="shared" si="286"/>
        <v>-1.8588548954265535E-2</v>
      </c>
      <c r="BJ54" s="91">
        <f t="shared" si="287"/>
        <v>-1.1821067113705588E-2</v>
      </c>
      <c r="BK54" s="91">
        <f t="shared" si="288"/>
        <v>0.95905356984633827</v>
      </c>
      <c r="BN54" s="5">
        <f>Peremszámok!$AM27-BS32</f>
        <v>0</v>
      </c>
      <c r="BO54" s="48">
        <f>BN54/Peremszámok!$AM27</f>
        <v>0</v>
      </c>
      <c r="BR54" s="91">
        <f t="shared" si="289"/>
        <v>-1.8588548954265535E-2</v>
      </c>
      <c r="BS54" s="91">
        <f t="shared" si="290"/>
        <v>-1.1821067113705588E-2</v>
      </c>
      <c r="BT54" s="91">
        <f t="shared" si="291"/>
        <v>0.95905356984633827</v>
      </c>
      <c r="BW54" s="5">
        <f>Peremszámok!$AM28-CB32</f>
        <v>0</v>
      </c>
      <c r="BX54" s="48">
        <f>BW54/Peremszámok!$AM28</f>
        <v>0</v>
      </c>
      <c r="CA54" s="91">
        <f>$CS$54</f>
        <v>-1.8572294885765474E-2</v>
      </c>
      <c r="CB54" s="91">
        <f>$CT$54</f>
        <v>-1.2334768211701664E-2</v>
      </c>
      <c r="CC54" s="91">
        <f>$CU$54</f>
        <v>0.96239770181200279</v>
      </c>
      <c r="CF54" s="5">
        <f>Peremszámok!$AM29-CK32</f>
        <v>0</v>
      </c>
      <c r="CG54" s="48">
        <f>CF54/Peremszámok!$AM29</f>
        <v>0</v>
      </c>
      <c r="CJ54" s="91">
        <f>$CS$54</f>
        <v>-1.8572294885765474E-2</v>
      </c>
      <c r="CK54" s="91">
        <f>$CT$54</f>
        <v>-1.2334768211701664E-2</v>
      </c>
      <c r="CL54" s="91">
        <f>$CU$54</f>
        <v>0.96239770181200279</v>
      </c>
      <c r="CO54" s="5">
        <f>Peremszámok!$AM30-CT32</f>
        <v>0</v>
      </c>
      <c r="CP54" s="48">
        <f>CO54/Peremszámok!$AM30</f>
        <v>0</v>
      </c>
      <c r="CS54" s="86">
        <f>CS51-'[6]ÁKM agg 3x3'!C6/'[6]ÁKM agg 3x3'!C$16</f>
        <v>-1.8572294885765474E-2</v>
      </c>
      <c r="CT54" s="86">
        <f>CT51-'[6]ÁKM agg 3x3'!D6/'[6]ÁKM agg 3x3'!D$16</f>
        <v>-1.2334768211701664E-2</v>
      </c>
      <c r="CU54" s="86">
        <f>CU51-'[6]ÁKM agg 3x3'!E6/'[6]ÁKM agg 3x3'!E$16</f>
        <v>0.96239770181200279</v>
      </c>
      <c r="CX54" s="5">
        <f>Peremszámok!$AM31-DC32</f>
        <v>0</v>
      </c>
      <c r="CY54" s="48">
        <f>CX54/Peremszámok!$AM29</f>
        <v>0</v>
      </c>
      <c r="DB54" s="91">
        <f>$CS$54</f>
        <v>-1.8572294885765474E-2</v>
      </c>
      <c r="DC54" s="91">
        <f>$CT$54</f>
        <v>-1.2334768211701664E-2</v>
      </c>
      <c r="DD54" s="91">
        <f>$CU$54</f>
        <v>0.96239770181200279</v>
      </c>
      <c r="DG54" s="5">
        <f>Peremszámok!$AM32-DL32</f>
        <v>0</v>
      </c>
      <c r="DH54" s="48">
        <f>DG54/Peremszámok!$AM29</f>
        <v>0</v>
      </c>
      <c r="DK54" s="91">
        <f>$CS$54</f>
        <v>-1.8572294885765474E-2</v>
      </c>
      <c r="DL54" s="91">
        <f>$CT$54</f>
        <v>-1.2334768211701664E-2</v>
      </c>
      <c r="DM54" s="91">
        <f>$CU$54</f>
        <v>0.96239770181200279</v>
      </c>
      <c r="DP54" s="5">
        <f>Peremszámok!$AM33-DU32</f>
        <v>0</v>
      </c>
      <c r="DQ54" s="48">
        <f>DP54/Peremszámok!$AM29</f>
        <v>0</v>
      </c>
      <c r="DT54" s="91">
        <f>$CS$54</f>
        <v>-1.8572294885765474E-2</v>
      </c>
      <c r="DU54" s="91">
        <f>$CT$54</f>
        <v>-1.2334768211701664E-2</v>
      </c>
      <c r="DV54" s="91">
        <f>$CU$54</f>
        <v>0.96239770181200279</v>
      </c>
      <c r="DY54" s="5">
        <f>Peremszámok!$AM34-ED32</f>
        <v>0</v>
      </c>
      <c r="DZ54" s="48">
        <f>DY54/Peremszámok!$AM29</f>
        <v>0</v>
      </c>
      <c r="EC54" s="91">
        <f>$CS$54</f>
        <v>-1.8572294885765474E-2</v>
      </c>
      <c r="ED54" s="91">
        <f>$CT$54</f>
        <v>-1.2334768211701664E-2</v>
      </c>
      <c r="EE54" s="91">
        <f>$CU$54</f>
        <v>0.96239770181200279</v>
      </c>
      <c r="EH54" s="5">
        <f>Peremszámok!$AM35-EM32</f>
        <v>0</v>
      </c>
      <c r="EI54" s="48">
        <f>EH54/Peremszámok!$AM29</f>
        <v>0</v>
      </c>
      <c r="EL54" s="91">
        <f>$CS$54</f>
        <v>-1.8572294885765474E-2</v>
      </c>
      <c r="EM54" s="91">
        <f>$CT$54</f>
        <v>-1.2334768211701664E-2</v>
      </c>
      <c r="EN54" s="91">
        <f>$CU$54</f>
        <v>0.96239770181200279</v>
      </c>
    </row>
    <row r="55" spans="2:144" x14ac:dyDescent="0.35">
      <c r="B55" t="s">
        <v>26</v>
      </c>
      <c r="C55" s="5">
        <f>Peremszámok!$AS20-I32</f>
        <v>0</v>
      </c>
      <c r="D55" s="48">
        <f>C55/Peremszámok!$AS20</f>
        <v>0</v>
      </c>
      <c r="G55" s="87" cm="1">
        <f t="array" ref="G55:I57">MINVERSE(G52:I54)</f>
        <v>1.222193344033758</v>
      </c>
      <c r="H55" s="87">
        <v>0.14101818057988788</v>
      </c>
      <c r="I55" s="87">
        <v>0.12406285714161955</v>
      </c>
      <c r="L55" s="5">
        <f>Peremszámok!$AS21-R32</f>
        <v>0</v>
      </c>
      <c r="M55" s="48">
        <f>L55/Peremszámok!$AS21</f>
        <v>0</v>
      </c>
      <c r="P55" s="87">
        <f t="shared" si="274"/>
        <v>1.222193344033758</v>
      </c>
      <c r="Q55" s="87">
        <f t="shared" si="275"/>
        <v>0.14101818057988788</v>
      </c>
      <c r="R55" s="87">
        <f t="shared" si="276"/>
        <v>0.12406285714161955</v>
      </c>
      <c r="U55" s="5">
        <f>Peremszámok!$AS22-AA32</f>
        <v>0</v>
      </c>
      <c r="V55" s="48">
        <f>U55/Peremszámok!$AS22</f>
        <v>0</v>
      </c>
      <c r="Y55" s="87">
        <f t="shared" si="277"/>
        <v>1.222193344033758</v>
      </c>
      <c r="Z55" s="87">
        <f t="shared" si="278"/>
        <v>0.14101818057988788</v>
      </c>
      <c r="AA55" s="87">
        <f t="shared" si="279"/>
        <v>0.12406285714161955</v>
      </c>
      <c r="AD55" s="5">
        <f>Peremszámok!$AS23-AJ32</f>
        <v>0</v>
      </c>
      <c r="AE55" s="48">
        <f>AD55/Peremszámok!$AS23</f>
        <v>0</v>
      </c>
      <c r="AH55" s="87">
        <f t="shared" si="280"/>
        <v>1.1870801632831032</v>
      </c>
      <c r="AI55" s="87">
        <f t="shared" si="281"/>
        <v>0.1220685274318262</v>
      </c>
      <c r="AJ55" s="87">
        <f t="shared" si="282"/>
        <v>0.10344056239355066</v>
      </c>
      <c r="AM55" s="5">
        <f>Peremszámok!$AS24-AS32</f>
        <v>0</v>
      </c>
      <c r="AN55" s="48">
        <f>AM55/Peremszámok!$AS24</f>
        <v>0</v>
      </c>
      <c r="AQ55" s="87">
        <f t="shared" si="283"/>
        <v>1.1870801632831032</v>
      </c>
      <c r="AR55" s="87">
        <f t="shared" si="284"/>
        <v>0.1220685274318262</v>
      </c>
      <c r="AS55" s="87">
        <f t="shared" si="285"/>
        <v>0.10344056239355066</v>
      </c>
      <c r="AV55" s="10"/>
      <c r="AZ55" s="87" cm="1">
        <f t="array" ref="AZ55:BB57">MINVERSE(AZ52:BB54)</f>
        <v>1.1870801632831032</v>
      </c>
      <c r="BA55" s="87">
        <v>0.1220685274318262</v>
      </c>
      <c r="BB55" s="87">
        <v>0.10344056239355066</v>
      </c>
      <c r="BE55" s="5">
        <f>Peremszámok!$AS26-BK32</f>
        <v>0</v>
      </c>
      <c r="BF55" s="48">
        <f>BE55/Peremszámok!$AS26</f>
        <v>0</v>
      </c>
      <c r="BI55" s="87">
        <f t="shared" si="286"/>
        <v>1.1870801632831032</v>
      </c>
      <c r="BJ55" s="87">
        <f t="shared" si="287"/>
        <v>0.1220685274318262</v>
      </c>
      <c r="BK55" s="87">
        <f t="shared" si="288"/>
        <v>0.10344056239355066</v>
      </c>
      <c r="BN55" s="5">
        <f>Peremszámok!$AS27-BT32</f>
        <v>0</v>
      </c>
      <c r="BO55" s="48">
        <f>BN55/Peremszámok!$AS27</f>
        <v>0</v>
      </c>
      <c r="BR55" s="87">
        <f t="shared" si="289"/>
        <v>1.1870801632831032</v>
      </c>
      <c r="BS55" s="87">
        <f t="shared" si="290"/>
        <v>0.1220685274318262</v>
      </c>
      <c r="BT55" s="87">
        <f t="shared" si="291"/>
        <v>0.10344056239355066</v>
      </c>
      <c r="BW55" s="5">
        <f>Peremszámok!$AS28-CC32</f>
        <v>0</v>
      </c>
      <c r="BX55" s="48">
        <f>BW55/Peremszámok!$AS28</f>
        <v>0</v>
      </c>
      <c r="CA55" s="87">
        <f>$CS$55</f>
        <v>1.1808480705773701</v>
      </c>
      <c r="CB55" s="87">
        <f>$CT$55</f>
        <v>0.12475495410597721</v>
      </c>
      <c r="CC55" s="87">
        <f>$CU$55</f>
        <v>0.10540556255834452</v>
      </c>
      <c r="CF55" s="5">
        <f>Peremszámok!$AS29-CL32</f>
        <v>0</v>
      </c>
      <c r="CG55" s="48">
        <f>CF55/Peremszámok!$AS29</f>
        <v>0</v>
      </c>
      <c r="CJ55" s="87">
        <f>$CS$55</f>
        <v>1.1808480705773701</v>
      </c>
      <c r="CK55" s="87">
        <f>$CT$55</f>
        <v>0.12475495410597721</v>
      </c>
      <c r="CL55" s="87">
        <f>$CU$55</f>
        <v>0.10540556255834452</v>
      </c>
      <c r="CO55" s="5">
        <f>Peremszámok!$AS30-CU32</f>
        <v>0</v>
      </c>
      <c r="CP55" s="48">
        <f>CO55/Peremszámok!$AS30</f>
        <v>0</v>
      </c>
      <c r="CS55" s="87" cm="1">
        <f t="array" ref="CS55:CU57">MINVERSE(CS52:CU54)</f>
        <v>1.1808480705773701</v>
      </c>
      <c r="CT55" s="87">
        <v>0.12475495410597721</v>
      </c>
      <c r="CU55" s="87">
        <v>0.10540556255834452</v>
      </c>
      <c r="CX55" s="5">
        <f>Peremszámok!$AS31-DD32</f>
        <v>0</v>
      </c>
      <c r="CY55" s="48">
        <f>CX55/Peremszámok!$AS29</f>
        <v>0</v>
      </c>
      <c r="DB55" s="87">
        <f>$CS$55</f>
        <v>1.1808480705773701</v>
      </c>
      <c r="DC55" s="87">
        <f>$CT$55</f>
        <v>0.12475495410597721</v>
      </c>
      <c r="DD55" s="87">
        <f>$CU$55</f>
        <v>0.10540556255834452</v>
      </c>
      <c r="DG55" s="5">
        <f>Peremszámok!$AS32-DM32</f>
        <v>0</v>
      </c>
      <c r="DH55" s="48">
        <f>DG55/Peremszámok!$AS29</f>
        <v>0</v>
      </c>
      <c r="DK55" s="87">
        <f>$CS$55</f>
        <v>1.1808480705773701</v>
      </c>
      <c r="DL55" s="87">
        <f>$CT$55</f>
        <v>0.12475495410597721</v>
      </c>
      <c r="DM55" s="87">
        <f>$CU$55</f>
        <v>0.10540556255834452</v>
      </c>
      <c r="DP55" s="5">
        <f>Peremszámok!$AS33-DV32</f>
        <v>0</v>
      </c>
      <c r="DQ55" s="48">
        <f>DP55/Peremszámok!$AS29</f>
        <v>0</v>
      </c>
      <c r="DT55" s="87">
        <f>$CS$55</f>
        <v>1.1808480705773701</v>
      </c>
      <c r="DU55" s="87">
        <f>$CT$55</f>
        <v>0.12475495410597721</v>
      </c>
      <c r="DV55" s="87">
        <f>$CU$55</f>
        <v>0.10540556255834452</v>
      </c>
      <c r="DY55" s="5">
        <f>Peremszámok!$AS34-EE32</f>
        <v>0</v>
      </c>
      <c r="DZ55" s="48">
        <f>DY55/Peremszámok!$AS29</f>
        <v>0</v>
      </c>
      <c r="EC55" s="87">
        <f>$CS$55</f>
        <v>1.1808480705773701</v>
      </c>
      <c r="ED55" s="87">
        <f>$CT$55</f>
        <v>0.12475495410597721</v>
      </c>
      <c r="EE55" s="87">
        <f>$CU$55</f>
        <v>0.10540556255834452</v>
      </c>
      <c r="EH55" s="5">
        <f>Peremszámok!$AS35-EN32</f>
        <v>0</v>
      </c>
      <c r="EI55" s="48">
        <f>EH55/Peremszámok!$AS29</f>
        <v>0</v>
      </c>
      <c r="EL55" s="87">
        <f>$CS$55</f>
        <v>1.1808480705773701</v>
      </c>
      <c r="EM55" s="87">
        <f>$CT$55</f>
        <v>0.12475495410597721</v>
      </c>
      <c r="EN55" s="87">
        <f>$CU$55</f>
        <v>0.10540556255834452</v>
      </c>
    </row>
    <row r="56" spans="2:144" x14ac:dyDescent="0.35">
      <c r="B56" t="s">
        <v>27</v>
      </c>
      <c r="C56" s="5">
        <f>Peremszámok!$AX20-K30</f>
        <v>-1010239.6878502965</v>
      </c>
      <c r="D56" s="48">
        <f>C30/Peremszámok!$AX20</f>
        <v>6.1107705231665678E-2</v>
      </c>
      <c r="G56" s="87">
        <v>0.23332610325437406</v>
      </c>
      <c r="H56" s="87">
        <v>1.2411025876700366</v>
      </c>
      <c r="I56" s="87">
        <v>0.2412733132139544</v>
      </c>
      <c r="L56" s="5">
        <f>Peremszámok!$AX21-T30</f>
        <v>-803609.27497271076</v>
      </c>
      <c r="M56" s="48">
        <f>L56/Peremszámok!$AX21</f>
        <v>-3.4263478508114953E-2</v>
      </c>
      <c r="P56" s="87">
        <f t="shared" si="274"/>
        <v>0.23332610325437406</v>
      </c>
      <c r="Q56" s="87">
        <f t="shared" si="275"/>
        <v>1.2411025876700366</v>
      </c>
      <c r="R56" s="87">
        <f t="shared" si="276"/>
        <v>0.2412733132139544</v>
      </c>
      <c r="U56" s="5">
        <f>Peremszámok!$AX22-AC30</f>
        <v>-1066320.4673836492</v>
      </c>
      <c r="V56" s="48">
        <f>U56/Peremszámok!$AX22</f>
        <v>-4.7242027912569255E-2</v>
      </c>
      <c r="Y56" s="87">
        <f t="shared" si="277"/>
        <v>0.23332610325437406</v>
      </c>
      <c r="Z56" s="87">
        <f t="shared" si="278"/>
        <v>1.2411025876700366</v>
      </c>
      <c r="AA56" s="87">
        <f t="shared" si="279"/>
        <v>0.2412733132139544</v>
      </c>
      <c r="AD56" s="5">
        <f>Peremszámok!$AX23-AL30</f>
        <v>-1096263.7506984361</v>
      </c>
      <c r="AE56" s="48">
        <f>AD56/Peremszámok!$AX23</f>
        <v>-4.6473340704453386E-2</v>
      </c>
      <c r="AH56" s="87">
        <f t="shared" si="280"/>
        <v>0.19474163610727896</v>
      </c>
      <c r="AI56" s="87">
        <f t="shared" si="281"/>
        <v>1.2168019445609437</v>
      </c>
      <c r="AJ56" s="87">
        <f t="shared" si="282"/>
        <v>0.21007268948401944</v>
      </c>
      <c r="AM56" s="5">
        <f>Peremszámok!$AX24-AU30</f>
        <v>-387044.04669973999</v>
      </c>
      <c r="AN56" s="48">
        <f>AM56/Peremszámok!$AX24</f>
        <v>-1.4736609267346807E-2</v>
      </c>
      <c r="AQ56" s="87">
        <f t="shared" si="283"/>
        <v>0.19474163610727896</v>
      </c>
      <c r="AR56" s="87">
        <f t="shared" si="284"/>
        <v>1.2168019445609437</v>
      </c>
      <c r="AS56" s="87">
        <f t="shared" si="285"/>
        <v>0.21007268948401944</v>
      </c>
      <c r="AV56" s="10"/>
      <c r="AZ56" s="87">
        <v>0.19474163610727896</v>
      </c>
      <c r="BA56" s="87">
        <v>1.2168019445609437</v>
      </c>
      <c r="BB56" s="87">
        <v>0.21007268948401944</v>
      </c>
      <c r="BE56" s="5">
        <f>Peremszámok!$AX26-BM30</f>
        <v>155779.00567519292</v>
      </c>
      <c r="BF56" s="48">
        <f>BE56/Peremszámok!$AX26</f>
        <v>5.4147912155103062E-3</v>
      </c>
      <c r="BI56" s="87">
        <f t="shared" si="286"/>
        <v>0.19474163610727896</v>
      </c>
      <c r="BJ56" s="87">
        <f t="shared" si="287"/>
        <v>1.2168019445609437</v>
      </c>
      <c r="BK56" s="87">
        <f t="shared" si="288"/>
        <v>0.21007268948401944</v>
      </c>
      <c r="BN56" s="5">
        <f>Peremszámok!$AX27-BV30</f>
        <v>721567.61021240801</v>
      </c>
      <c r="BO56" s="48">
        <f>BN56/Peremszámok!$AX27</f>
        <v>2.312517998989834E-2</v>
      </c>
      <c r="BR56" s="87">
        <f t="shared" si="289"/>
        <v>0.19474163610727896</v>
      </c>
      <c r="BS56" s="87">
        <f t="shared" si="290"/>
        <v>1.2168019445609437</v>
      </c>
      <c r="BT56" s="87">
        <f t="shared" si="291"/>
        <v>0.21007268948401944</v>
      </c>
      <c r="BW56" s="5">
        <f>Peremszámok!$AX28-CE30</f>
        <v>1545885.7265202031</v>
      </c>
      <c r="BX56" s="48">
        <f>BW56/Peremszámok!$AX28</f>
        <v>4.6331731601105756E-2</v>
      </c>
      <c r="CA56" s="87">
        <f>$CS$56</f>
        <v>0.19032502852289415</v>
      </c>
      <c r="CB56" s="87">
        <f>$CT$56</f>
        <v>1.2159960169616695</v>
      </c>
      <c r="CC56" s="87">
        <f>$CU$56</f>
        <v>0.20914922041898465</v>
      </c>
      <c r="CF56" s="5">
        <f>Peremszámok!$AX29-CN30</f>
        <v>2028193.1641745046</v>
      </c>
      <c r="CG56" s="48">
        <f>CF56/Peremszámok!$AX29</f>
        <v>5.6628726511118117E-2</v>
      </c>
      <c r="CJ56" s="87">
        <f>$CS$56</f>
        <v>0.19032502852289415</v>
      </c>
      <c r="CK56" s="87">
        <f>$CT$56</f>
        <v>1.2159960169616695</v>
      </c>
      <c r="CL56" s="87">
        <f>$CU$56</f>
        <v>0.20914922041898465</v>
      </c>
      <c r="CO56" s="5">
        <f>Peremszámok!$AX30-CW30</f>
        <v>2184999.7556779459</v>
      </c>
      <c r="CP56" s="48">
        <f>CF56/Peremszámok!$AX30</f>
        <v>5.659219334686303E-2</v>
      </c>
      <c r="CS56" s="87">
        <v>0.19032502852289415</v>
      </c>
      <c r="CT56" s="87">
        <v>1.2159960169616695</v>
      </c>
      <c r="CU56" s="87">
        <v>0.20914922041898465</v>
      </c>
      <c r="CX56" s="5">
        <f>Peremszámok!$AX31-DF30</f>
        <v>2649308.355129756</v>
      </c>
      <c r="CY56" s="48">
        <f>CX56/Peremszámok!$AX29</f>
        <v>7.3970744471632044E-2</v>
      </c>
      <c r="DB56" s="87">
        <f>$CS$56</f>
        <v>0.19032502852289415</v>
      </c>
      <c r="DC56" s="87">
        <f>$CT$56</f>
        <v>1.2159960169616695</v>
      </c>
      <c r="DD56" s="87">
        <f>$CU$56</f>
        <v>0.20914922041898465</v>
      </c>
      <c r="DG56" s="5">
        <f>Peremszámok!$AX32-DO30</f>
        <v>3009144.8146920949</v>
      </c>
      <c r="DH56" s="48">
        <f>DG56/Peremszámok!$AX29</f>
        <v>8.401765756512844E-2</v>
      </c>
      <c r="DK56" s="87">
        <f>$CS$56</f>
        <v>0.19032502852289415</v>
      </c>
      <c r="DL56" s="87">
        <f>$CT$56</f>
        <v>1.2159960169616695</v>
      </c>
      <c r="DM56" s="87">
        <f>$CU$56</f>
        <v>0.20914922041898465</v>
      </c>
      <c r="DP56" s="5">
        <f>Peremszámok!$AX33-DX30</f>
        <v>3368981.2742539495</v>
      </c>
      <c r="DQ56" s="48">
        <f>DP56/Peremszámok!$AX29</f>
        <v>9.4064570658611305E-2</v>
      </c>
      <c r="DT56" s="87">
        <f>$CS$56</f>
        <v>0.19032502852289415</v>
      </c>
      <c r="DU56" s="87">
        <f>$CT$56</f>
        <v>1.2159960169616695</v>
      </c>
      <c r="DV56" s="87">
        <f>$CU$56</f>
        <v>0.20914922041898465</v>
      </c>
      <c r="DY56" s="5">
        <f>Peremszámok!$AX34-EG30</f>
        <v>3728817.7338159084</v>
      </c>
      <c r="DZ56" s="48">
        <f>DY56/Peremszámok!$AX29</f>
        <v>0.10411148375209708</v>
      </c>
      <c r="EC56" s="87">
        <f>$CS$56</f>
        <v>0.19032502852289415</v>
      </c>
      <c r="ED56" s="87">
        <f>$CT$56</f>
        <v>1.2159960169616695</v>
      </c>
      <c r="EE56" s="87">
        <f>$CU$56</f>
        <v>0.20914922041898465</v>
      </c>
      <c r="EH56" s="5">
        <f>Peremszámok!$AX35-EP30</f>
        <v>4088654.1933779344</v>
      </c>
      <c r="EI56" s="48">
        <f>EH56/Peremszámok!$AX29</f>
        <v>0.11415839684558474</v>
      </c>
      <c r="EL56" s="87">
        <f>$CS$56</f>
        <v>0.19032502852289415</v>
      </c>
      <c r="EM56" s="87">
        <f>$CT$56</f>
        <v>1.2159960169616695</v>
      </c>
      <c r="EN56" s="87">
        <f>$CU$56</f>
        <v>0.20914922041898465</v>
      </c>
    </row>
    <row r="57" spans="2:144" x14ac:dyDescent="0.35">
      <c r="B57" t="s">
        <v>32</v>
      </c>
      <c r="C57" s="7">
        <f>Peremszámok!$BC20-J32+K30</f>
        <v>1010239.6878502965</v>
      </c>
      <c r="D57" s="49">
        <f>C57/Peremszámok!$BC20</f>
        <v>3.2040800492674187E-2</v>
      </c>
      <c r="G57" s="87">
        <v>2.6236353628678665E-2</v>
      </c>
      <c r="H57" s="87">
        <v>1.9124564547949949E-2</v>
      </c>
      <c r="I57" s="87">
        <v>1.0503133490630903</v>
      </c>
      <c r="L57" s="7">
        <f>Peremszámok!$BC21-S32+T30</f>
        <v>803609.27497271076</v>
      </c>
      <c r="M57" s="49">
        <f>L57/Peremszámok!$BC21</f>
        <v>2.5002968231403369E-2</v>
      </c>
      <c r="P57" s="87">
        <f t="shared" si="274"/>
        <v>2.6236353628678665E-2</v>
      </c>
      <c r="Q57" s="87">
        <f t="shared" si="275"/>
        <v>1.9124564547949949E-2</v>
      </c>
      <c r="R57" s="87">
        <f t="shared" si="276"/>
        <v>1.0503133490630903</v>
      </c>
      <c r="U57" s="7">
        <f>Peremszámok!$BC22-AB32+AC30</f>
        <v>1066320.4673836492</v>
      </c>
      <c r="V57" s="49">
        <f>U57/Peremszámok!$BC22</f>
        <v>3.3641249258837651E-2</v>
      </c>
      <c r="Y57" s="87">
        <f t="shared" si="277"/>
        <v>2.6236353628678665E-2</v>
      </c>
      <c r="Z57" s="87">
        <f t="shared" si="278"/>
        <v>1.9124564547949949E-2</v>
      </c>
      <c r="AA57" s="87">
        <f t="shared" si="279"/>
        <v>1.0503133490630903</v>
      </c>
      <c r="AD57" s="7">
        <f>Peremszámok!$BC23-AK32+AL30</f>
        <v>1096263.7506984361</v>
      </c>
      <c r="AE57" s="49">
        <f>AD57/Peremszámok!$BC23</f>
        <v>3.3954125587216423E-2</v>
      </c>
      <c r="AH57" s="87">
        <f t="shared" si="280"/>
        <v>2.5408540715808798E-2</v>
      </c>
      <c r="AI57" s="87">
        <f t="shared" si="281"/>
        <v>1.7363966698285858E-2</v>
      </c>
      <c r="AJ57" s="87">
        <f t="shared" si="282"/>
        <v>1.0472888323433118</v>
      </c>
      <c r="AM57" s="7">
        <f>Peremszámok!$BC24-AT32+AU30</f>
        <v>387044.04669973999</v>
      </c>
      <c r="AN57" s="49">
        <f>AM57/Peremszámok!$BC24</f>
        <v>1.1501368648593118E-2</v>
      </c>
      <c r="AQ57" s="87">
        <f t="shared" si="283"/>
        <v>2.5408540715808798E-2</v>
      </c>
      <c r="AR57" s="87">
        <f t="shared" si="284"/>
        <v>1.7363966698285858E-2</v>
      </c>
      <c r="AS57" s="87">
        <f t="shared" si="285"/>
        <v>1.0472888323433118</v>
      </c>
      <c r="AV57" s="10"/>
      <c r="AZ57" s="87">
        <v>2.5408540715808798E-2</v>
      </c>
      <c r="BA57" s="87">
        <v>1.7363966698285858E-2</v>
      </c>
      <c r="BB57" s="87">
        <v>1.0472888323433118</v>
      </c>
      <c r="BE57" s="7">
        <f>Peremszámok!$BC26-BL32+BM30</f>
        <v>-155779.00567519292</v>
      </c>
      <c r="BF57" s="49">
        <f>BE57/Peremszámok!$BC26</f>
        <v>-4.3653954501066674E-3</v>
      </c>
      <c r="BI57" s="87">
        <f t="shared" si="286"/>
        <v>2.5408540715808798E-2</v>
      </c>
      <c r="BJ57" s="87">
        <f t="shared" si="287"/>
        <v>1.7363966698285858E-2</v>
      </c>
      <c r="BK57" s="87">
        <f t="shared" si="288"/>
        <v>1.0472888323433118</v>
      </c>
      <c r="BN57" s="7">
        <f>Peremszámok!$BC27-BU32+BV30</f>
        <v>-721567.61021240801</v>
      </c>
      <c r="BO57" s="49">
        <f>BN57/Peremszámok!$BC27</f>
        <v>-1.9383737247364873E-2</v>
      </c>
      <c r="BR57" s="87">
        <f t="shared" si="289"/>
        <v>2.5408540715808798E-2</v>
      </c>
      <c r="BS57" s="87">
        <f t="shared" si="290"/>
        <v>1.7363966698285858E-2</v>
      </c>
      <c r="BT57" s="87">
        <f t="shared" si="291"/>
        <v>1.0472888323433118</v>
      </c>
      <c r="BW57" s="7">
        <f>Peremszámok!$BC28-CD32+CE30</f>
        <v>-1545885.7265202031</v>
      </c>
      <c r="BX57" s="49">
        <f>BW57/Peremszámok!$BC28</f>
        <v>-3.9398115556662748E-2</v>
      </c>
      <c r="CA57" s="87">
        <f>$CS$57</f>
        <v>2.5227277297164809E-2</v>
      </c>
      <c r="CB57" s="87">
        <f>$CT$57</f>
        <v>1.7992577059450978E-2</v>
      </c>
      <c r="CC57" s="87">
        <f>$CU$57</f>
        <v>1.0437861899032139</v>
      </c>
      <c r="CF57" s="7">
        <f>Peremszámok!$BC29-CM32+CN30</f>
        <v>-2028193.1641745046</v>
      </c>
      <c r="CG57" s="49">
        <f>CF57/Peremszámok!$BC29</f>
        <v>-4.9427228027917394E-2</v>
      </c>
      <c r="CJ57" s="87">
        <f>$CS$57</f>
        <v>2.5227277297164809E-2</v>
      </c>
      <c r="CK57" s="87">
        <f>$CT$57</f>
        <v>1.7992577059450978E-2</v>
      </c>
      <c r="CL57" s="87">
        <f>$CU$57</f>
        <v>1.0437861899032139</v>
      </c>
      <c r="CO57" s="7">
        <f>Peremszámok!$BC30-CV32+CW30</f>
        <v>-2184999.7556779459</v>
      </c>
      <c r="CP57" s="49">
        <f>CO57/Peremszámok!$BC30</f>
        <v>-5.3614607357933532E-2</v>
      </c>
      <c r="CS57" s="87">
        <v>2.5227277297164809E-2</v>
      </c>
      <c r="CT57" s="87">
        <v>1.7992577059450978E-2</v>
      </c>
      <c r="CU57" s="87">
        <v>1.0437861899032139</v>
      </c>
      <c r="CX57" s="7">
        <f>Peremszámok!$BC31-DE32+DF30</f>
        <v>-2649308.355129756</v>
      </c>
      <c r="CY57" s="49">
        <f>CX57/Peremszámok!$BC29</f>
        <v>-6.456385441894652E-2</v>
      </c>
      <c r="DB57" s="87">
        <f>$CS$57</f>
        <v>2.5227277297164809E-2</v>
      </c>
      <c r="DC57" s="87">
        <f>$CT$57</f>
        <v>1.7992577059450978E-2</v>
      </c>
      <c r="DD57" s="87">
        <f>$CU$57</f>
        <v>1.0437861899032139</v>
      </c>
      <c r="DG57" s="7">
        <f>Peremszámok!$BC32-DN32+DO30</f>
        <v>-3009144.8146920949</v>
      </c>
      <c r="DH57" s="49">
        <f>DG57/Peremszámok!$BC29</f>
        <v>-7.3333097434704911E-2</v>
      </c>
      <c r="DK57" s="87">
        <f>$CS$57</f>
        <v>2.5227277297164809E-2</v>
      </c>
      <c r="DL57" s="87">
        <f>$CT$57</f>
        <v>1.7992577059450978E-2</v>
      </c>
      <c r="DM57" s="87">
        <f>$CU$57</f>
        <v>1.0437861899032139</v>
      </c>
      <c r="DP57" s="7">
        <f>Peremszámok!$BC33-DW32+DX30</f>
        <v>-3368981.2742539495</v>
      </c>
      <c r="DQ57" s="49">
        <f>DP57/Peremszámok!$BC29</f>
        <v>-8.2102340450451519E-2</v>
      </c>
      <c r="DT57" s="87">
        <f>$CS$57</f>
        <v>2.5227277297164809E-2</v>
      </c>
      <c r="DU57" s="87">
        <f>$CT$57</f>
        <v>1.7992577059450978E-2</v>
      </c>
      <c r="DV57" s="87">
        <f>$CU$57</f>
        <v>1.0437861899032139</v>
      </c>
      <c r="DY57" s="7">
        <f>Peremszámok!$BC34-EF32+EG30</f>
        <v>-3728817.7338159084</v>
      </c>
      <c r="DZ57" s="49">
        <f>DY57/Peremszámok!$BC29</f>
        <v>-9.0871583466200653E-2</v>
      </c>
      <c r="EC57" s="87">
        <f>$CS$57</f>
        <v>2.5227277297164809E-2</v>
      </c>
      <c r="ED57" s="87">
        <f>$CT$57</f>
        <v>1.7992577059450978E-2</v>
      </c>
      <c r="EE57" s="87">
        <f>$CU$57</f>
        <v>1.0437861899032139</v>
      </c>
      <c r="EH57" s="7">
        <f>Peremszámok!$BC35-EO32+EP30</f>
        <v>-4088654.1933779344</v>
      </c>
      <c r="EI57" s="49">
        <f>EH57/Peremszámok!$BC29</f>
        <v>-9.9640826481951425E-2</v>
      </c>
      <c r="EL57" s="87">
        <f>$CS$57</f>
        <v>2.5227277297164809E-2</v>
      </c>
      <c r="EM57" s="87">
        <f>$CT$57</f>
        <v>1.7992577059450978E-2</v>
      </c>
      <c r="EN57" s="87">
        <f>$CU$57</f>
        <v>1.0437861899032139</v>
      </c>
    </row>
    <row r="58" spans="2:144" x14ac:dyDescent="0.35">
      <c r="AV58" s="10"/>
    </row>
  </sheetData>
  <sheetProtection algorithmName="SHA-512" hashValue="azeJgeWleTsyGytdhCdkuTSBWbvjgdpEfox1F02iXtSm/N5iDno9exAPNhj9O2BSio1ZhNHtxIRDxiKVohT5XA==" saltValue="kPVqJDDnGR+Mhqw5xbIElQ==" spinCount="100000" sheet="1" formatCells="0" formatColumns="0" formatRows="0" insertColumns="0" insertRows="0" insertHyperlinks="0" deleteColumns="0" deleteRows="0"/>
  <mergeCells count="394">
    <mergeCell ref="CX23:DF23"/>
    <mergeCell ref="CX24:DF24"/>
    <mergeCell ref="DG23:DO23"/>
    <mergeCell ref="DG24:DO24"/>
    <mergeCell ref="DP23:DX23"/>
    <mergeCell ref="DP24:DX24"/>
    <mergeCell ref="DY23:EG23"/>
    <mergeCell ref="DY24:EG24"/>
    <mergeCell ref="EH23:EP23"/>
    <mergeCell ref="EH24:EP24"/>
    <mergeCell ref="CF11:CH11"/>
    <mergeCell ref="CF12:CH15"/>
    <mergeCell ref="CI12:CI15"/>
    <mergeCell ref="CF16:CH16"/>
    <mergeCell ref="CF17:CH17"/>
    <mergeCell ref="CM5:CM7"/>
    <mergeCell ref="CN5:CN7"/>
    <mergeCell ref="CF8:CH8"/>
    <mergeCell ref="CF9:CH10"/>
    <mergeCell ref="CI9:CI10"/>
    <mergeCell ref="CJ9:CJ10"/>
    <mergeCell ref="CK9:CK10"/>
    <mergeCell ref="CL9:CL10"/>
    <mergeCell ref="CM9:CM10"/>
    <mergeCell ref="CN9:CN10"/>
    <mergeCell ref="CF5:CH7"/>
    <mergeCell ref="CI5:CI7"/>
    <mergeCell ref="CJ5:CJ7"/>
    <mergeCell ref="CK5:CK7"/>
    <mergeCell ref="CL5:CL7"/>
    <mergeCell ref="BW11:BY11"/>
    <mergeCell ref="BW12:BY15"/>
    <mergeCell ref="BZ12:BZ15"/>
    <mergeCell ref="BW16:BY16"/>
    <mergeCell ref="BW17:BY17"/>
    <mergeCell ref="CD5:CD7"/>
    <mergeCell ref="CE5:CE7"/>
    <mergeCell ref="BW8:BY8"/>
    <mergeCell ref="BW9:BY10"/>
    <mergeCell ref="BZ9:BZ10"/>
    <mergeCell ref="CA9:CA10"/>
    <mergeCell ref="CB9:CB10"/>
    <mergeCell ref="CC9:CC10"/>
    <mergeCell ref="CD9:CD10"/>
    <mergeCell ref="CE9:CE10"/>
    <mergeCell ref="BW5:BY7"/>
    <mergeCell ref="BZ5:BZ7"/>
    <mergeCell ref="CA5:CA7"/>
    <mergeCell ref="CB5:CB7"/>
    <mergeCell ref="CC5:CC7"/>
    <mergeCell ref="BN11:BP11"/>
    <mergeCell ref="BN12:BP15"/>
    <mergeCell ref="BQ12:BQ15"/>
    <mergeCell ref="BN16:BP16"/>
    <mergeCell ref="BN17:BP17"/>
    <mergeCell ref="BU5:BU7"/>
    <mergeCell ref="BV5:BV7"/>
    <mergeCell ref="BN8:BP8"/>
    <mergeCell ref="BN9:BP10"/>
    <mergeCell ref="BQ9:BQ10"/>
    <mergeCell ref="BR9:BR10"/>
    <mergeCell ref="BS9:BS10"/>
    <mergeCell ref="BT9:BT10"/>
    <mergeCell ref="BU9:BU10"/>
    <mergeCell ref="BV9:BV10"/>
    <mergeCell ref="BN5:BP7"/>
    <mergeCell ref="BQ5:BQ7"/>
    <mergeCell ref="BR5:BR7"/>
    <mergeCell ref="BS5:BS7"/>
    <mergeCell ref="BT5:BT7"/>
    <mergeCell ref="BE11:BG11"/>
    <mergeCell ref="BE12:BG15"/>
    <mergeCell ref="BH12:BH15"/>
    <mergeCell ref="BE16:BG16"/>
    <mergeCell ref="BE17:BG17"/>
    <mergeCell ref="BL5:BL7"/>
    <mergeCell ref="BM5:BM7"/>
    <mergeCell ref="BE8:BG8"/>
    <mergeCell ref="BE9:BG10"/>
    <mergeCell ref="BH9:BH10"/>
    <mergeCell ref="BI9:BI10"/>
    <mergeCell ref="BJ9:BJ10"/>
    <mergeCell ref="BK9:BK10"/>
    <mergeCell ref="BL9:BL10"/>
    <mergeCell ref="BM9:BM10"/>
    <mergeCell ref="BE5:BG7"/>
    <mergeCell ref="BH5:BH7"/>
    <mergeCell ref="BI5:BI7"/>
    <mergeCell ref="BJ5:BJ7"/>
    <mergeCell ref="BK5:BK7"/>
    <mergeCell ref="L17:N17"/>
    <mergeCell ref="U17:W17"/>
    <mergeCell ref="AD17:AF17"/>
    <mergeCell ref="AM17:AO17"/>
    <mergeCell ref="AV17:AX17"/>
    <mergeCell ref="L16:N16"/>
    <mergeCell ref="U16:W16"/>
    <mergeCell ref="AD16:AF16"/>
    <mergeCell ref="AM16:AO16"/>
    <mergeCell ref="AV16:AX16"/>
    <mergeCell ref="AG12:AG15"/>
    <mergeCell ref="AM12:AO15"/>
    <mergeCell ref="AP12:AP15"/>
    <mergeCell ref="AV12:AX15"/>
    <mergeCell ref="AY12:AY15"/>
    <mergeCell ref="L12:N15"/>
    <mergeCell ref="O12:O15"/>
    <mergeCell ref="U12:W15"/>
    <mergeCell ref="X12:X15"/>
    <mergeCell ref="AD12:AF15"/>
    <mergeCell ref="L11:N11"/>
    <mergeCell ref="U11:W11"/>
    <mergeCell ref="AD11:AF11"/>
    <mergeCell ref="AM11:AO11"/>
    <mergeCell ref="AV11:AX11"/>
    <mergeCell ref="AZ9:AZ10"/>
    <mergeCell ref="BA9:BA10"/>
    <mergeCell ref="BB9:BB10"/>
    <mergeCell ref="BC9:BC10"/>
    <mergeCell ref="AG9:AG10"/>
    <mergeCell ref="AH9:AH10"/>
    <mergeCell ref="AI9:AI10"/>
    <mergeCell ref="AJ9:AJ10"/>
    <mergeCell ref="AK9:AK10"/>
    <mergeCell ref="Z9:Z10"/>
    <mergeCell ref="AA9:AA10"/>
    <mergeCell ref="AB9:AB10"/>
    <mergeCell ref="AC9:AC10"/>
    <mergeCell ref="AD9:AF10"/>
    <mergeCell ref="S9:S10"/>
    <mergeCell ref="T9:T10"/>
    <mergeCell ref="U9:W10"/>
    <mergeCell ref="X9:X10"/>
    <mergeCell ref="Y9:Y10"/>
    <mergeCell ref="BD9:BD10"/>
    <mergeCell ref="AS9:AS10"/>
    <mergeCell ref="AT9:AT10"/>
    <mergeCell ref="AU9:AU10"/>
    <mergeCell ref="AV9:AX10"/>
    <mergeCell ref="AY9:AY10"/>
    <mergeCell ref="AL9:AL10"/>
    <mergeCell ref="AM9:AO10"/>
    <mergeCell ref="AP9:AP10"/>
    <mergeCell ref="AQ9:AQ10"/>
    <mergeCell ref="AR9:AR10"/>
    <mergeCell ref="L9:N10"/>
    <mergeCell ref="O9:O10"/>
    <mergeCell ref="P9:P10"/>
    <mergeCell ref="Q9:Q10"/>
    <mergeCell ref="R9:R10"/>
    <mergeCell ref="L8:N8"/>
    <mergeCell ref="U8:W8"/>
    <mergeCell ref="AD8:AF8"/>
    <mergeCell ref="AM8:AO8"/>
    <mergeCell ref="AV8:AX8"/>
    <mergeCell ref="AZ5:AZ7"/>
    <mergeCell ref="BA5:BA7"/>
    <mergeCell ref="BB5:BB7"/>
    <mergeCell ref="BC5:BC7"/>
    <mergeCell ref="BD5:BD7"/>
    <mergeCell ref="AS5:AS7"/>
    <mergeCell ref="AT5:AT7"/>
    <mergeCell ref="AU5:AU7"/>
    <mergeCell ref="AV5:AX7"/>
    <mergeCell ref="AY5:AY7"/>
    <mergeCell ref="Y5:Y7"/>
    <mergeCell ref="AL5:AL7"/>
    <mergeCell ref="AM5:AO7"/>
    <mergeCell ref="AP5:AP7"/>
    <mergeCell ref="AQ5:AQ7"/>
    <mergeCell ref="AR5:AR7"/>
    <mergeCell ref="AG5:AG7"/>
    <mergeCell ref="AH5:AH7"/>
    <mergeCell ref="AI5:AI7"/>
    <mergeCell ref="AJ5:AJ7"/>
    <mergeCell ref="AK5:AK7"/>
    <mergeCell ref="CF23:CN23"/>
    <mergeCell ref="CF24:CN24"/>
    <mergeCell ref="C23:K23"/>
    <mergeCell ref="C24:K24"/>
    <mergeCell ref="CO23:CW23"/>
    <mergeCell ref="CO24:CW24"/>
    <mergeCell ref="AV23:BD23"/>
    <mergeCell ref="AV24:BD24"/>
    <mergeCell ref="L23:T23"/>
    <mergeCell ref="L24:T24"/>
    <mergeCell ref="U23:AC23"/>
    <mergeCell ref="U24:AC24"/>
    <mergeCell ref="AD23:AL23"/>
    <mergeCell ref="AD24:AL24"/>
    <mergeCell ref="AM23:AU23"/>
    <mergeCell ref="AM24:AU24"/>
    <mergeCell ref="BE23:BM23"/>
    <mergeCell ref="BE24:BM24"/>
    <mergeCell ref="BN23:BV23"/>
    <mergeCell ref="BN24:BV24"/>
    <mergeCell ref="BW23:CE23"/>
    <mergeCell ref="BW24:CE24"/>
    <mergeCell ref="C17:E17"/>
    <mergeCell ref="C12:E15"/>
    <mergeCell ref="C9:E10"/>
    <mergeCell ref="C11:E11"/>
    <mergeCell ref="C16:E16"/>
    <mergeCell ref="F9:F10"/>
    <mergeCell ref="F12:F15"/>
    <mergeCell ref="K9:K10"/>
    <mergeCell ref="C5:E7"/>
    <mergeCell ref="C8:E8"/>
    <mergeCell ref="F5:F7"/>
    <mergeCell ref="G5:G7"/>
    <mergeCell ref="H5:H7"/>
    <mergeCell ref="CF3:CN3"/>
    <mergeCell ref="CO3:CW3"/>
    <mergeCell ref="CX3:DF3"/>
    <mergeCell ref="G9:G10"/>
    <mergeCell ref="H9:H10"/>
    <mergeCell ref="I9:I10"/>
    <mergeCell ref="J9:J10"/>
    <mergeCell ref="I5:I7"/>
    <mergeCell ref="J5:J7"/>
    <mergeCell ref="K5:K7"/>
    <mergeCell ref="L5:N7"/>
    <mergeCell ref="O5:O7"/>
    <mergeCell ref="P5:P7"/>
    <mergeCell ref="Q5:Q7"/>
    <mergeCell ref="R5:R7"/>
    <mergeCell ref="Z5:Z7"/>
    <mergeCell ref="AA5:AA7"/>
    <mergeCell ref="AB5:AB7"/>
    <mergeCell ref="AC5:AC7"/>
    <mergeCell ref="AD5:AF7"/>
    <mergeCell ref="S5:S7"/>
    <mergeCell ref="T5:T7"/>
    <mergeCell ref="U5:W7"/>
    <mergeCell ref="X5:X7"/>
    <mergeCell ref="CF2:CN2"/>
    <mergeCell ref="CO2:CW2"/>
    <mergeCell ref="CX2:DF2"/>
    <mergeCell ref="AV2:BD2"/>
    <mergeCell ref="C2:K2"/>
    <mergeCell ref="L2:T2"/>
    <mergeCell ref="U2:AC2"/>
    <mergeCell ref="AD2:AL2"/>
    <mergeCell ref="AM2:AU2"/>
    <mergeCell ref="C3:K3"/>
    <mergeCell ref="L3:T3"/>
    <mergeCell ref="U3:AC3"/>
    <mergeCell ref="AD3:AL3"/>
    <mergeCell ref="AM3:AU3"/>
    <mergeCell ref="AV3:BD3"/>
    <mergeCell ref="BE2:BM2"/>
    <mergeCell ref="BN2:BV2"/>
    <mergeCell ref="BW2:CE2"/>
    <mergeCell ref="BE3:BM3"/>
    <mergeCell ref="BN3:BV3"/>
    <mergeCell ref="BW3:CE3"/>
    <mergeCell ref="CS9:CS10"/>
    <mergeCell ref="CT9:CT10"/>
    <mergeCell ref="CU9:CU10"/>
    <mergeCell ref="CV9:CV10"/>
    <mergeCell ref="CW9:CW10"/>
    <mergeCell ref="DG2:DO2"/>
    <mergeCell ref="DP2:DX2"/>
    <mergeCell ref="DY2:EG2"/>
    <mergeCell ref="EH2:EP2"/>
    <mergeCell ref="DG3:DO3"/>
    <mergeCell ref="DP3:DX3"/>
    <mergeCell ref="DY3:EG3"/>
    <mergeCell ref="EH3:EP3"/>
    <mergeCell ref="DD5:DD7"/>
    <mergeCell ref="DE5:DE7"/>
    <mergeCell ref="DF5:DF7"/>
    <mergeCell ref="CX8:CZ8"/>
    <mergeCell ref="CX9:CZ10"/>
    <mergeCell ref="DA9:DA10"/>
    <mergeCell ref="DB9:DB10"/>
    <mergeCell ref="DC9:DC10"/>
    <mergeCell ref="DD9:DD10"/>
    <mergeCell ref="DE9:DE10"/>
    <mergeCell ref="DF9:DF10"/>
    <mergeCell ref="CO11:CQ11"/>
    <mergeCell ref="CO12:CQ15"/>
    <mergeCell ref="CR12:CR15"/>
    <mergeCell ref="CO16:CQ16"/>
    <mergeCell ref="CO17:CQ17"/>
    <mergeCell ref="CX5:CZ7"/>
    <mergeCell ref="DA5:DA7"/>
    <mergeCell ref="DB5:DB7"/>
    <mergeCell ref="DC5:DC7"/>
    <mergeCell ref="CX11:CZ11"/>
    <mergeCell ref="CX12:CZ15"/>
    <mergeCell ref="DA12:DA15"/>
    <mergeCell ref="CX16:CZ16"/>
    <mergeCell ref="CX17:CZ17"/>
    <mergeCell ref="CO5:CQ7"/>
    <mergeCell ref="CR5:CR7"/>
    <mergeCell ref="CS5:CS7"/>
    <mergeCell ref="CT5:CT7"/>
    <mergeCell ref="CU5:CU7"/>
    <mergeCell ref="CV5:CV7"/>
    <mergeCell ref="CW5:CW7"/>
    <mergeCell ref="CO8:CQ8"/>
    <mergeCell ref="CO9:CQ10"/>
    <mergeCell ref="CR9:CR10"/>
    <mergeCell ref="DG5:DI7"/>
    <mergeCell ref="DJ5:DJ7"/>
    <mergeCell ref="DK5:DK7"/>
    <mergeCell ref="DL5:DL7"/>
    <mergeCell ref="DM5:DM7"/>
    <mergeCell ref="DN5:DN7"/>
    <mergeCell ref="DO5:DO7"/>
    <mergeCell ref="DG8:DI8"/>
    <mergeCell ref="DG9:DI10"/>
    <mergeCell ref="DJ9:DJ10"/>
    <mergeCell ref="DK9:DK10"/>
    <mergeCell ref="DL9:DL10"/>
    <mergeCell ref="DM9:DM10"/>
    <mergeCell ref="DN9:DN10"/>
    <mergeCell ref="DO9:DO10"/>
    <mergeCell ref="CX18:CZ18"/>
    <mergeCell ref="CX19:CZ19"/>
    <mergeCell ref="DG11:DI11"/>
    <mergeCell ref="DG12:DI15"/>
    <mergeCell ref="DJ12:DJ15"/>
    <mergeCell ref="DG16:DI16"/>
    <mergeCell ref="DG17:DI17"/>
    <mergeCell ref="DG18:DI18"/>
    <mergeCell ref="DG19:DI19"/>
    <mergeCell ref="DY11:EA11"/>
    <mergeCell ref="DY12:EA15"/>
    <mergeCell ref="EB12:EB15"/>
    <mergeCell ref="DY16:EA16"/>
    <mergeCell ref="DY17:EA17"/>
    <mergeCell ref="DY18:EA18"/>
    <mergeCell ref="DY19:EA19"/>
    <mergeCell ref="DP9:DR10"/>
    <mergeCell ref="DS9:DS10"/>
    <mergeCell ref="DT9:DT10"/>
    <mergeCell ref="DU9:DU10"/>
    <mergeCell ref="DV9:DV10"/>
    <mergeCell ref="DW9:DW10"/>
    <mergeCell ref="DX9:DX10"/>
    <mergeCell ref="DP11:DR11"/>
    <mergeCell ref="DP12:DR15"/>
    <mergeCell ref="DS12:DS15"/>
    <mergeCell ref="DP16:DR16"/>
    <mergeCell ref="DP17:DR17"/>
    <mergeCell ref="DP18:DR18"/>
    <mergeCell ref="DP19:DR19"/>
    <mergeCell ref="DP5:DR7"/>
    <mergeCell ref="DS5:DS7"/>
    <mergeCell ref="DT5:DT7"/>
    <mergeCell ref="DU5:DU7"/>
    <mergeCell ref="DV5:DV7"/>
    <mergeCell ref="DW5:DW7"/>
    <mergeCell ref="DX5:DX7"/>
    <mergeCell ref="DP8:DR8"/>
    <mergeCell ref="EC5:EC7"/>
    <mergeCell ref="DY5:EA7"/>
    <mergeCell ref="EB5:EB7"/>
    <mergeCell ref="ED5:ED7"/>
    <mergeCell ref="EE5:EE7"/>
    <mergeCell ref="EF5:EF7"/>
    <mergeCell ref="EG5:EG7"/>
    <mergeCell ref="DY8:EA8"/>
    <mergeCell ref="DY9:EA10"/>
    <mergeCell ref="EB9:EB10"/>
    <mergeCell ref="EC9:EC10"/>
    <mergeCell ref="ED9:ED10"/>
    <mergeCell ref="EE9:EE10"/>
    <mergeCell ref="EF9:EF10"/>
    <mergeCell ref="EG9:EG10"/>
    <mergeCell ref="EL5:EL7"/>
    <mergeCell ref="EM5:EM7"/>
    <mergeCell ref="EN5:EN7"/>
    <mergeCell ref="EO5:EO7"/>
    <mergeCell ref="EP5:EP7"/>
    <mergeCell ref="EH8:EJ8"/>
    <mergeCell ref="EH9:EJ10"/>
    <mergeCell ref="EK9:EK10"/>
    <mergeCell ref="EL9:EL10"/>
    <mergeCell ref="EM9:EM10"/>
    <mergeCell ref="EN9:EN10"/>
    <mergeCell ref="EO9:EO10"/>
    <mergeCell ref="EP9:EP10"/>
    <mergeCell ref="EH11:EJ11"/>
    <mergeCell ref="EH12:EJ15"/>
    <mergeCell ref="EK12:EK15"/>
    <mergeCell ref="EH16:EJ16"/>
    <mergeCell ref="EH17:EJ17"/>
    <mergeCell ref="EH18:EJ18"/>
    <mergeCell ref="EH19:EJ19"/>
    <mergeCell ref="EH5:EJ7"/>
    <mergeCell ref="EK5:EK7"/>
  </mergeCells>
  <phoneticPr fontId="5" type="noConversion"/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42516-0F41-459C-9433-85E9E8282186}">
  <dimension ref="A1:BQ326"/>
  <sheetViews>
    <sheetView zoomScale="80" zoomScaleNormal="80" workbookViewId="0">
      <pane xSplit="2" topLeftCell="AV1" activePane="topRight" state="frozen"/>
      <selection pane="topRight" activeCell="B5" sqref="B5"/>
    </sheetView>
  </sheetViews>
  <sheetFormatPr defaultRowHeight="14.5" x14ac:dyDescent="0.35"/>
  <cols>
    <col min="2" max="2" width="42.1796875" customWidth="1"/>
    <col min="3" max="3" width="13.453125" bestFit="1" customWidth="1"/>
    <col min="4" max="67" width="12.7265625" customWidth="1"/>
  </cols>
  <sheetData>
    <row r="1" spans="1:67" x14ac:dyDescent="0.35">
      <c r="E1" s="1">
        <v>1</v>
      </c>
      <c r="I1" s="1">
        <f>E1+1</f>
        <v>2</v>
      </c>
      <c r="K1" s="183"/>
      <c r="M1" s="1">
        <f>I1+1</f>
        <v>3</v>
      </c>
      <c r="Q1" s="1">
        <f>M1+1</f>
        <v>4</v>
      </c>
      <c r="U1" s="1">
        <f>Q1+1</f>
        <v>5</v>
      </c>
      <c r="Y1" s="1">
        <f>U1+1</f>
        <v>6</v>
      </c>
      <c r="AC1" s="1">
        <f>Y1+1</f>
        <v>7</v>
      </c>
      <c r="AG1" s="1">
        <f>AC1+1</f>
        <v>8</v>
      </c>
      <c r="AK1" s="1">
        <f>AG1+1</f>
        <v>9</v>
      </c>
      <c r="AO1" s="1">
        <f>AK1+1</f>
        <v>10</v>
      </c>
      <c r="AS1" s="1">
        <f>AO1+1</f>
        <v>11</v>
      </c>
      <c r="AW1" s="1">
        <f>AS1+1</f>
        <v>12</v>
      </c>
      <c r="BA1" s="1">
        <f>AW1+1</f>
        <v>13</v>
      </c>
      <c r="BE1" s="1">
        <f>BA1+1</f>
        <v>14</v>
      </c>
      <c r="BI1" s="1">
        <f>BE1+1</f>
        <v>15</v>
      </c>
      <c r="BM1" s="1">
        <f>BI1+1</f>
        <v>16</v>
      </c>
    </row>
    <row r="2" spans="1:67" x14ac:dyDescent="0.35">
      <c r="D2" s="355">
        <v>2010</v>
      </c>
      <c r="E2" s="352"/>
      <c r="F2" s="352"/>
      <c r="G2" s="384"/>
      <c r="H2" s="355">
        <f>D2+1</f>
        <v>2011</v>
      </c>
      <c r="I2" s="352"/>
      <c r="J2" s="352"/>
      <c r="K2" s="384"/>
      <c r="L2" s="355">
        <f>H2+1</f>
        <v>2012</v>
      </c>
      <c r="M2" s="352"/>
      <c r="N2" s="352"/>
      <c r="O2" s="384"/>
      <c r="P2" s="355">
        <f>L2+1</f>
        <v>2013</v>
      </c>
      <c r="Q2" s="352"/>
      <c r="R2" s="352"/>
      <c r="S2" s="384"/>
      <c r="T2" s="355">
        <f>P2+1</f>
        <v>2014</v>
      </c>
      <c r="U2" s="352"/>
      <c r="V2" s="352"/>
      <c r="W2" s="384"/>
      <c r="X2" s="355">
        <f>T2+1</f>
        <v>2015</v>
      </c>
      <c r="Y2" s="352"/>
      <c r="Z2" s="352"/>
      <c r="AA2" s="384"/>
      <c r="AB2" s="355">
        <f>X2+1</f>
        <v>2016</v>
      </c>
      <c r="AC2" s="352"/>
      <c r="AD2" s="352"/>
      <c r="AE2" s="384"/>
      <c r="AF2" s="355">
        <f>AB2+1</f>
        <v>2017</v>
      </c>
      <c r="AG2" s="352"/>
      <c r="AH2" s="352"/>
      <c r="AI2" s="384"/>
      <c r="AJ2" s="355">
        <f>AF2+1</f>
        <v>2018</v>
      </c>
      <c r="AK2" s="352"/>
      <c r="AL2" s="352"/>
      <c r="AM2" s="384"/>
      <c r="AN2" s="355">
        <f>AJ2+1</f>
        <v>2019</v>
      </c>
      <c r="AO2" s="352"/>
      <c r="AP2" s="352"/>
      <c r="AQ2" s="384"/>
      <c r="AR2" s="355">
        <f>AN2+1</f>
        <v>2020</v>
      </c>
      <c r="AS2" s="352"/>
      <c r="AT2" s="352"/>
      <c r="AU2" s="384"/>
      <c r="AV2" s="355">
        <f>AR2+1</f>
        <v>2021</v>
      </c>
      <c r="AW2" s="352"/>
      <c r="AX2" s="352"/>
      <c r="AY2" s="384"/>
      <c r="AZ2" s="355">
        <f>AV2+1</f>
        <v>2022</v>
      </c>
      <c r="BA2" s="352"/>
      <c r="BB2" s="352"/>
      <c r="BC2" s="384"/>
      <c r="BD2" s="355">
        <f>AZ2+1</f>
        <v>2023</v>
      </c>
      <c r="BE2" s="352"/>
      <c r="BF2" s="352"/>
      <c r="BG2" s="384"/>
      <c r="BH2" s="355">
        <f>BD2+1</f>
        <v>2024</v>
      </c>
      <c r="BI2" s="352"/>
      <c r="BJ2" s="352"/>
      <c r="BK2" s="384"/>
      <c r="BL2" s="355">
        <f>BH2+1</f>
        <v>2025</v>
      </c>
      <c r="BM2" s="352"/>
      <c r="BN2" s="352"/>
      <c r="BO2" s="384"/>
    </row>
    <row r="3" spans="1:67" x14ac:dyDescent="0.35">
      <c r="D3" s="2" t="s">
        <v>0</v>
      </c>
      <c r="E3" s="2" t="s">
        <v>1</v>
      </c>
      <c r="F3" s="8" t="s">
        <v>2</v>
      </c>
      <c r="G3" s="4" t="s">
        <v>21</v>
      </c>
      <c r="H3" s="2" t="str">
        <f>D3</f>
        <v>Upstream</v>
      </c>
      <c r="I3" s="2" t="str">
        <f t="shared" ref="I3:K3" si="0">E3</f>
        <v>Gyártás</v>
      </c>
      <c r="J3" s="8" t="str">
        <f t="shared" si="0"/>
        <v>Downstream</v>
      </c>
      <c r="K3" s="4" t="str">
        <f t="shared" si="0"/>
        <v>Összesen</v>
      </c>
      <c r="L3" s="2" t="str">
        <f>H3</f>
        <v>Upstream</v>
      </c>
      <c r="M3" s="2" t="str">
        <f t="shared" ref="M3" si="1">I3</f>
        <v>Gyártás</v>
      </c>
      <c r="N3" s="8" t="str">
        <f t="shared" ref="N3:O3" si="2">J3</f>
        <v>Downstream</v>
      </c>
      <c r="O3" s="4" t="str">
        <f t="shared" si="2"/>
        <v>Összesen</v>
      </c>
      <c r="P3" s="2" t="str">
        <f>L3</f>
        <v>Upstream</v>
      </c>
      <c r="Q3" s="2" t="str">
        <f t="shared" ref="Q3" si="3">M3</f>
        <v>Gyártás</v>
      </c>
      <c r="R3" s="8" t="str">
        <f t="shared" ref="R3:S3" si="4">N3</f>
        <v>Downstream</v>
      </c>
      <c r="S3" s="4" t="str">
        <f t="shared" si="4"/>
        <v>Összesen</v>
      </c>
      <c r="T3" s="2" t="str">
        <f>P3</f>
        <v>Upstream</v>
      </c>
      <c r="U3" s="2" t="str">
        <f t="shared" ref="U3" si="5">Q3</f>
        <v>Gyártás</v>
      </c>
      <c r="V3" s="8" t="str">
        <f t="shared" ref="V3:W3" si="6">R3</f>
        <v>Downstream</v>
      </c>
      <c r="W3" s="4" t="str">
        <f t="shared" si="6"/>
        <v>Összesen</v>
      </c>
      <c r="X3" s="2" t="str">
        <f>T3</f>
        <v>Upstream</v>
      </c>
      <c r="Y3" s="2" t="str">
        <f t="shared" ref="Y3" si="7">U3</f>
        <v>Gyártás</v>
      </c>
      <c r="Z3" s="8" t="str">
        <f t="shared" ref="Z3:AA3" si="8">V3</f>
        <v>Downstream</v>
      </c>
      <c r="AA3" s="4" t="str">
        <f t="shared" si="8"/>
        <v>Összesen</v>
      </c>
      <c r="AB3" s="2" t="str">
        <f>X3</f>
        <v>Upstream</v>
      </c>
      <c r="AC3" s="2" t="str">
        <f t="shared" ref="AC3" si="9">Y3</f>
        <v>Gyártás</v>
      </c>
      <c r="AD3" s="8" t="str">
        <f t="shared" ref="AD3:AE3" si="10">Z3</f>
        <v>Downstream</v>
      </c>
      <c r="AE3" s="4" t="str">
        <f t="shared" si="10"/>
        <v>Összesen</v>
      </c>
      <c r="AF3" s="2" t="str">
        <f>AB3</f>
        <v>Upstream</v>
      </c>
      <c r="AG3" s="2" t="str">
        <f t="shared" ref="AG3" si="11">AC3</f>
        <v>Gyártás</v>
      </c>
      <c r="AH3" s="8" t="str">
        <f t="shared" ref="AH3:AI3" si="12">AD3</f>
        <v>Downstream</v>
      </c>
      <c r="AI3" s="4" t="str">
        <f t="shared" si="12"/>
        <v>Összesen</v>
      </c>
      <c r="AJ3" s="2" t="str">
        <f>AF3</f>
        <v>Upstream</v>
      </c>
      <c r="AK3" s="2" t="str">
        <f t="shared" ref="AK3" si="13">AG3</f>
        <v>Gyártás</v>
      </c>
      <c r="AL3" s="8" t="str">
        <f t="shared" ref="AL3:AM3" si="14">AH3</f>
        <v>Downstream</v>
      </c>
      <c r="AM3" s="4" t="str">
        <f t="shared" si="14"/>
        <v>Összesen</v>
      </c>
      <c r="AN3" s="2" t="str">
        <f>AJ3</f>
        <v>Upstream</v>
      </c>
      <c r="AO3" s="2" t="str">
        <f t="shared" ref="AO3" si="15">AK3</f>
        <v>Gyártás</v>
      </c>
      <c r="AP3" s="8" t="str">
        <f t="shared" ref="AP3:AQ3" si="16">AL3</f>
        <v>Downstream</v>
      </c>
      <c r="AQ3" s="4" t="str">
        <f t="shared" si="16"/>
        <v>Összesen</v>
      </c>
      <c r="AR3" s="2" t="str">
        <f>AN3</f>
        <v>Upstream</v>
      </c>
      <c r="AS3" s="2" t="str">
        <f>AO3</f>
        <v>Gyártás</v>
      </c>
      <c r="AT3" s="8" t="str">
        <f>AP3</f>
        <v>Downstream</v>
      </c>
      <c r="AU3" s="4" t="str">
        <f>AQ3</f>
        <v>Összesen</v>
      </c>
      <c r="AV3" s="2" t="str">
        <f>AR3</f>
        <v>Upstream</v>
      </c>
      <c r="AW3" s="2" t="str">
        <f t="shared" ref="AW3" si="17">AS3</f>
        <v>Gyártás</v>
      </c>
      <c r="AX3" s="8" t="str">
        <f t="shared" ref="AX3:AY3" si="18">AT3</f>
        <v>Downstream</v>
      </c>
      <c r="AY3" s="4" t="str">
        <f t="shared" si="18"/>
        <v>Összesen</v>
      </c>
      <c r="AZ3" s="2" t="str">
        <f>AV3</f>
        <v>Upstream</v>
      </c>
      <c r="BA3" s="2" t="str">
        <f t="shared" ref="BA3" si="19">AW3</f>
        <v>Gyártás</v>
      </c>
      <c r="BB3" s="8" t="str">
        <f t="shared" ref="BB3:BC3" si="20">AX3</f>
        <v>Downstream</v>
      </c>
      <c r="BC3" s="4" t="str">
        <f t="shared" si="20"/>
        <v>Összesen</v>
      </c>
      <c r="BD3" s="2" t="str">
        <f>AZ3</f>
        <v>Upstream</v>
      </c>
      <c r="BE3" s="2" t="str">
        <f t="shared" ref="BE3" si="21">BA3</f>
        <v>Gyártás</v>
      </c>
      <c r="BF3" s="8" t="str">
        <f t="shared" ref="BF3:BG3" si="22">BB3</f>
        <v>Downstream</v>
      </c>
      <c r="BG3" s="4" t="str">
        <f t="shared" si="22"/>
        <v>Összesen</v>
      </c>
      <c r="BH3" s="2" t="str">
        <f>BD3</f>
        <v>Upstream</v>
      </c>
      <c r="BI3" s="2" t="str">
        <f t="shared" ref="BI3" si="23">BE3</f>
        <v>Gyártás</v>
      </c>
      <c r="BJ3" s="8" t="str">
        <f t="shared" ref="BJ3:BK3" si="24">BF3</f>
        <v>Downstream</v>
      </c>
      <c r="BK3" s="12" t="str">
        <f t="shared" si="24"/>
        <v>Összesen</v>
      </c>
      <c r="BL3" s="2" t="str">
        <f>BH3</f>
        <v>Upstream</v>
      </c>
      <c r="BM3" s="2" t="str">
        <f t="shared" ref="BM3" si="25">BI3</f>
        <v>Gyártás</v>
      </c>
      <c r="BN3" s="8" t="str">
        <f t="shared" ref="BN3:BO3" si="26">BJ3</f>
        <v>Downstream</v>
      </c>
      <c r="BO3" s="12" t="str">
        <f t="shared" si="26"/>
        <v>Összesen</v>
      </c>
    </row>
    <row r="4" spans="1:67" ht="15" thickBot="1" x14ac:dyDescent="0.4">
      <c r="A4" t="s">
        <v>34</v>
      </c>
      <c r="D4" s="50"/>
      <c r="E4" s="51"/>
      <c r="F4" s="52"/>
      <c r="G4" s="51"/>
      <c r="H4" s="50"/>
      <c r="I4" s="51"/>
      <c r="J4" s="52"/>
      <c r="K4" s="51"/>
      <c r="L4" s="50"/>
      <c r="M4" s="51"/>
      <c r="N4" s="52"/>
      <c r="O4" s="51"/>
      <c r="P4" s="50"/>
      <c r="Q4" s="51"/>
      <c r="R4" s="52"/>
      <c r="S4" s="51"/>
      <c r="T4" s="50"/>
      <c r="U4" s="51"/>
      <c r="V4" s="52"/>
      <c r="W4" s="51"/>
      <c r="X4" s="50"/>
      <c r="Y4" s="51"/>
      <c r="Z4" s="52"/>
      <c r="AA4" s="51"/>
      <c r="AB4" s="50"/>
      <c r="AC4" s="51"/>
      <c r="AD4" s="52"/>
      <c r="AE4" s="51"/>
      <c r="AF4" s="50"/>
      <c r="AG4" s="51"/>
      <c r="AH4" s="52"/>
      <c r="AI4" s="51"/>
      <c r="AJ4" s="50"/>
      <c r="AK4" s="51"/>
      <c r="AL4" s="52"/>
      <c r="AM4" s="51"/>
      <c r="AN4" s="50"/>
      <c r="AO4" s="51"/>
      <c r="AP4" s="52"/>
      <c r="AQ4" s="51"/>
      <c r="AR4" s="50"/>
      <c r="AS4" s="51"/>
      <c r="AT4" s="52"/>
      <c r="AU4" s="51"/>
      <c r="AV4" s="50"/>
      <c r="AW4" s="51"/>
      <c r="AX4" s="52"/>
      <c r="AY4" s="51"/>
      <c r="AZ4" s="400" t="s">
        <v>891</v>
      </c>
      <c r="BA4" s="401"/>
      <c r="BB4" s="402"/>
      <c r="BC4" s="51"/>
      <c r="BD4" s="400" t="s">
        <v>890</v>
      </c>
      <c r="BE4" s="401"/>
      <c r="BF4" s="402"/>
      <c r="BG4" s="51"/>
      <c r="BH4" s="400" t="s">
        <v>889</v>
      </c>
      <c r="BI4" s="401"/>
      <c r="BJ4" s="402"/>
      <c r="BK4" s="53"/>
      <c r="BL4" s="400" t="s">
        <v>888</v>
      </c>
      <c r="BM4" s="401"/>
      <c r="BN4" s="402"/>
      <c r="BO4" s="53"/>
    </row>
    <row r="5" spans="1:67" x14ac:dyDescent="0.35">
      <c r="B5" t="s">
        <v>3</v>
      </c>
      <c r="D5" s="143" t="s">
        <v>115</v>
      </c>
      <c r="E5" s="144"/>
      <c r="F5" s="145"/>
      <c r="G5" s="270" t="s">
        <v>117</v>
      </c>
      <c r="H5" s="272">
        <v>104</v>
      </c>
      <c r="I5" s="262">
        <v>0</v>
      </c>
      <c r="J5" s="263">
        <v>11935</v>
      </c>
      <c r="K5" s="275">
        <f>SUM(H5:J5)</f>
        <v>12039</v>
      </c>
      <c r="L5" s="272">
        <v>50</v>
      </c>
      <c r="M5" s="262">
        <v>42</v>
      </c>
      <c r="N5" s="263">
        <v>12163</v>
      </c>
      <c r="O5" s="275">
        <v>12255</v>
      </c>
      <c r="P5" s="272">
        <v>103</v>
      </c>
      <c r="Q5" s="262">
        <v>0</v>
      </c>
      <c r="R5" s="263">
        <v>12613</v>
      </c>
      <c r="S5" s="275">
        <v>12716</v>
      </c>
      <c r="T5" s="272">
        <v>168</v>
      </c>
      <c r="U5" s="262">
        <v>75</v>
      </c>
      <c r="V5" s="263">
        <v>13727</v>
      </c>
      <c r="W5" s="275">
        <v>13970</v>
      </c>
      <c r="X5" s="272">
        <v>23</v>
      </c>
      <c r="Y5" s="262">
        <v>0</v>
      </c>
      <c r="Z5" s="263">
        <v>11193</v>
      </c>
      <c r="AA5" s="275">
        <f>SUM(X5:Z5)</f>
        <v>11216</v>
      </c>
      <c r="AB5" s="272">
        <v>136</v>
      </c>
      <c r="AC5" s="262">
        <v>30</v>
      </c>
      <c r="AD5" s="263">
        <v>10726</v>
      </c>
      <c r="AE5" s="275">
        <f>SUM(AB5:AD5)</f>
        <v>10892</v>
      </c>
      <c r="AF5" s="272">
        <v>25</v>
      </c>
      <c r="AG5" s="262">
        <v>0</v>
      </c>
      <c r="AH5" s="263">
        <v>13158</v>
      </c>
      <c r="AI5" s="275">
        <f>SUM(AF5:AH5)</f>
        <v>13183</v>
      </c>
      <c r="AJ5" s="272">
        <v>0</v>
      </c>
      <c r="AK5" s="262">
        <v>0</v>
      </c>
      <c r="AL5" s="263">
        <v>9016</v>
      </c>
      <c r="AM5" s="295">
        <f>SUM(AJ5:AL5)</f>
        <v>9016</v>
      </c>
      <c r="AN5" s="296">
        <f>AN42*AN$31</f>
        <v>28.840826364143979</v>
      </c>
      <c r="AO5" s="297">
        <f t="shared" ref="AO5:AP5" si="27">AO42*AO$31</f>
        <v>9.0691657651419444</v>
      </c>
      <c r="AP5" s="298">
        <f t="shared" si="27"/>
        <v>10751.6689939813</v>
      </c>
      <c r="AQ5" s="295">
        <f>SUM(AN5:AP5)</f>
        <v>10789.578986110586</v>
      </c>
      <c r="AR5" s="296">
        <f>AR42*AR$31</f>
        <v>13.762361001857267</v>
      </c>
      <c r="AS5" s="297">
        <f t="shared" ref="AS5:AT5" si="28">AS42*AS$31</f>
        <v>5.759781429855134</v>
      </c>
      <c r="AT5" s="298">
        <f t="shared" si="28"/>
        <v>9838.2978883984433</v>
      </c>
      <c r="AU5" s="295">
        <f>SUM(AR5:AT5)</f>
        <v>9857.8200308301566</v>
      </c>
      <c r="AV5" s="305">
        <f>AV42*AV$31</f>
        <v>-1.4489700972336819</v>
      </c>
      <c r="AW5" s="297">
        <f t="shared" ref="AW5:AX5" si="29">AW42*AW$31</f>
        <v>2.5850670648623355</v>
      </c>
      <c r="AX5" s="298">
        <f t="shared" si="29"/>
        <v>9521.6779128513026</v>
      </c>
      <c r="AY5" s="295">
        <f>SUM(AV5:AX5)</f>
        <v>9522.8140098189306</v>
      </c>
      <c r="AZ5" s="305">
        <f>AZ42*AZ$31</f>
        <v>-18.171210665113861</v>
      </c>
      <c r="BA5" s="306">
        <f t="shared" ref="BA5:BB5" si="30">BA42*BA$31</f>
        <v>-0.98393959205127446</v>
      </c>
      <c r="BB5" s="298">
        <f t="shared" si="30"/>
        <v>8938.440907191738</v>
      </c>
      <c r="BC5" s="295">
        <f>SUM(AZ5:BB5)</f>
        <v>8919.2857569345724</v>
      </c>
      <c r="BD5" s="305">
        <f>BD42*BD$31</f>
        <v>-36.151554101045164</v>
      </c>
      <c r="BE5" s="306">
        <f t="shared" ref="BE5:BF5" si="31">BE42*BE$31</f>
        <v>-4.8394223732585306</v>
      </c>
      <c r="BF5" s="298">
        <f t="shared" si="31"/>
        <v>8303.0824371817071</v>
      </c>
      <c r="BG5" s="295">
        <f>SUM(BD5:BF5)</f>
        <v>8262.0914607074028</v>
      </c>
      <c r="BH5" s="305">
        <f>BH42*BH$31</f>
        <v>-55.390000405027713</v>
      </c>
      <c r="BI5" s="306">
        <f t="shared" ref="BI5:BJ5" si="32">BI42*BI$31</f>
        <v>-8.9813812787612086</v>
      </c>
      <c r="BJ5" s="298">
        <f t="shared" si="32"/>
        <v>7615.602502821208</v>
      </c>
      <c r="BK5" s="295">
        <f>SUM(BH5:BJ5)</f>
        <v>7551.231121137419</v>
      </c>
      <c r="BL5" s="305">
        <f>BL42*BL$31</f>
        <v>-75.886549577061444</v>
      </c>
      <c r="BM5" s="306">
        <f t="shared" ref="BM5:BN5" si="33">BM42*BM$31</f>
        <v>-13.409816308557469</v>
      </c>
      <c r="BN5" s="298">
        <f t="shared" si="33"/>
        <v>6876.0011041102807</v>
      </c>
      <c r="BO5" s="275">
        <f>SUM(BL5:BN5)</f>
        <v>6786.7047382246619</v>
      </c>
    </row>
    <row r="6" spans="1:67" x14ac:dyDescent="0.35">
      <c r="B6" t="s">
        <v>4</v>
      </c>
      <c r="D6" s="143"/>
      <c r="E6" s="144"/>
      <c r="F6" s="145"/>
      <c r="G6" s="270"/>
      <c r="H6" s="273">
        <v>34662</v>
      </c>
      <c r="I6" s="265">
        <v>86757</v>
      </c>
      <c r="J6" s="266">
        <v>93076</v>
      </c>
      <c r="K6" s="275">
        <f t="shared" ref="K6:K14" si="34">SUM(H6:J6)</f>
        <v>214495</v>
      </c>
      <c r="L6" s="273">
        <v>32983</v>
      </c>
      <c r="M6" s="265">
        <v>73763</v>
      </c>
      <c r="N6" s="266">
        <v>81685</v>
      </c>
      <c r="O6" s="275">
        <v>188431</v>
      </c>
      <c r="P6" s="273">
        <v>32297</v>
      </c>
      <c r="Q6" s="265">
        <v>69383</v>
      </c>
      <c r="R6" s="266">
        <v>81202</v>
      </c>
      <c r="S6" s="275">
        <v>182882</v>
      </c>
      <c r="T6" s="273">
        <v>36070</v>
      </c>
      <c r="U6" s="265">
        <v>77667</v>
      </c>
      <c r="V6" s="266">
        <v>85388</v>
      </c>
      <c r="W6" s="275">
        <v>199125</v>
      </c>
      <c r="X6" s="273">
        <v>32987</v>
      </c>
      <c r="Y6" s="265">
        <v>76216</v>
      </c>
      <c r="Z6" s="266">
        <v>87669</v>
      </c>
      <c r="AA6" s="275">
        <f t="shared" ref="AA6:AA14" si="35">SUM(X6:Z6)</f>
        <v>196872</v>
      </c>
      <c r="AB6" s="273">
        <v>34721</v>
      </c>
      <c r="AC6" s="265">
        <v>79036</v>
      </c>
      <c r="AD6" s="266">
        <v>86801</v>
      </c>
      <c r="AE6" s="275">
        <f t="shared" ref="AE6:AE14" si="36">SUM(AB6:AD6)</f>
        <v>200558</v>
      </c>
      <c r="AF6" s="273">
        <v>38184</v>
      </c>
      <c r="AG6" s="265">
        <v>78459</v>
      </c>
      <c r="AH6" s="266">
        <v>85060</v>
      </c>
      <c r="AI6" s="275">
        <f t="shared" ref="AI6:AI14" si="37">SUM(AF6:AH6)</f>
        <v>201703</v>
      </c>
      <c r="AJ6" s="273">
        <v>26101</v>
      </c>
      <c r="AK6" s="265">
        <v>81422</v>
      </c>
      <c r="AL6" s="266">
        <v>88726</v>
      </c>
      <c r="AM6" s="295">
        <f t="shared" ref="AM6:AM14" si="38">SUM(AJ6:AL6)</f>
        <v>196249</v>
      </c>
      <c r="AN6" s="299">
        <f t="shared" ref="AN6:AP6" si="39">AN43*AN$31</f>
        <v>33559.778695025489</v>
      </c>
      <c r="AO6" s="300">
        <f t="shared" si="39"/>
        <v>82220.236244563828</v>
      </c>
      <c r="AP6" s="301">
        <f t="shared" si="39"/>
        <v>88346.37395763825</v>
      </c>
      <c r="AQ6" s="295">
        <f t="shared" ref="AQ6:AQ15" si="40">SUM(AN6:AP6)</f>
        <v>204126.38889722756</v>
      </c>
      <c r="AR6" s="299">
        <f t="shared" ref="AR6:AT6" si="41">AR43*AR$31</f>
        <v>31892.09635681233</v>
      </c>
      <c r="AS6" s="300">
        <f t="shared" si="41"/>
        <v>78879.183018826108</v>
      </c>
      <c r="AT6" s="301">
        <f t="shared" si="41"/>
        <v>83896.635099497638</v>
      </c>
      <c r="AU6" s="295">
        <f t="shared" ref="AU6:AU15" si="42">SUM(AR6:AT6)</f>
        <v>194667.91447513609</v>
      </c>
      <c r="AV6" s="299">
        <f t="shared" ref="AV6:AX6" si="43">AV43*AV$31</f>
        <v>31973.494838475839</v>
      </c>
      <c r="AW6" s="300">
        <f t="shared" si="43"/>
        <v>80054.175810576155</v>
      </c>
      <c r="AX6" s="301">
        <f t="shared" si="43"/>
        <v>84681.280472552229</v>
      </c>
      <c r="AY6" s="295">
        <f t="shared" ref="AY6:AY15" si="44">SUM(AV6:AX6)</f>
        <v>196708.95112160422</v>
      </c>
      <c r="AZ6" s="299">
        <f t="shared" ref="AZ6:BB6" si="45">AZ43*AZ$31</f>
        <v>31325.448975650928</v>
      </c>
      <c r="BA6" s="300">
        <f t="shared" si="45"/>
        <v>79452.475710965795</v>
      </c>
      <c r="BB6" s="301">
        <f t="shared" si="45"/>
        <v>83406.17716527087</v>
      </c>
      <c r="BC6" s="295">
        <f t="shared" ref="BC6:BC15" si="46">SUM(AZ6:BB6)</f>
        <v>194184.10185188759</v>
      </c>
      <c r="BD6" s="299">
        <f t="shared" ref="BD6:BF6" si="47">BD43*BD$31</f>
        <v>30533.798107188522</v>
      </c>
      <c r="BE6" s="300">
        <f t="shared" si="47"/>
        <v>78550.605973888261</v>
      </c>
      <c r="BF6" s="301">
        <f t="shared" si="47"/>
        <v>81900.448102711322</v>
      </c>
      <c r="BG6" s="295">
        <f t="shared" ref="BG6:BG15" si="48">SUM(BD6:BF6)</f>
        <v>190984.85218378811</v>
      </c>
      <c r="BH6" s="299">
        <f t="shared" ref="BH6:BJ6" si="49">BH43*BH$31</f>
        <v>29598.542233090375</v>
      </c>
      <c r="BI6" s="300">
        <f t="shared" si="49"/>
        <v>77348.566599343685</v>
      </c>
      <c r="BJ6" s="301">
        <f t="shared" si="49"/>
        <v>80164.093284870061</v>
      </c>
      <c r="BK6" s="295">
        <f t="shared" ref="BK6:BK15" si="50">SUM(BH6:BJ6)</f>
        <v>187111.20211730411</v>
      </c>
      <c r="BL6" s="299">
        <f t="shared" ref="BL6:BN6" si="51">BL43*BL$31</f>
        <v>28519.681353354648</v>
      </c>
      <c r="BM6" s="300">
        <f t="shared" si="51"/>
        <v>75846.35758733179</v>
      </c>
      <c r="BN6" s="301">
        <f t="shared" si="51"/>
        <v>78197.112711751135</v>
      </c>
      <c r="BO6" s="275">
        <f t="shared" ref="BO6:BO15" si="52">SUM(BL6:BN6)</f>
        <v>182563.15165243758</v>
      </c>
    </row>
    <row r="7" spans="1:67" x14ac:dyDescent="0.35">
      <c r="B7" t="s">
        <v>5</v>
      </c>
      <c r="D7" s="143"/>
      <c r="E7" s="144"/>
      <c r="F7" s="145"/>
      <c r="G7" s="270"/>
      <c r="H7" s="273">
        <v>103126</v>
      </c>
      <c r="I7" s="265">
        <v>131446</v>
      </c>
      <c r="J7" s="266">
        <v>361309</v>
      </c>
      <c r="K7" s="275">
        <f t="shared" si="34"/>
        <v>595881</v>
      </c>
      <c r="L7" s="273">
        <v>101560</v>
      </c>
      <c r="M7" s="265">
        <v>157280</v>
      </c>
      <c r="N7" s="266">
        <v>359226</v>
      </c>
      <c r="O7" s="275">
        <v>618066</v>
      </c>
      <c r="P7" s="273">
        <v>109061</v>
      </c>
      <c r="Q7" s="265">
        <v>159698</v>
      </c>
      <c r="R7" s="266">
        <v>357165</v>
      </c>
      <c r="S7" s="275">
        <v>625924</v>
      </c>
      <c r="T7" s="273">
        <v>99083</v>
      </c>
      <c r="U7" s="265">
        <v>167962</v>
      </c>
      <c r="V7" s="266">
        <v>374704</v>
      </c>
      <c r="W7" s="275">
        <v>641749</v>
      </c>
      <c r="X7" s="273">
        <v>110903</v>
      </c>
      <c r="Y7" s="265">
        <v>171774</v>
      </c>
      <c r="Z7" s="266">
        <v>378407</v>
      </c>
      <c r="AA7" s="275">
        <f t="shared" si="35"/>
        <v>661084</v>
      </c>
      <c r="AB7" s="273">
        <v>104027</v>
      </c>
      <c r="AC7" s="265">
        <v>177008</v>
      </c>
      <c r="AD7" s="266">
        <v>374050</v>
      </c>
      <c r="AE7" s="275">
        <f t="shared" si="36"/>
        <v>655085</v>
      </c>
      <c r="AF7" s="273">
        <v>97942</v>
      </c>
      <c r="AG7" s="265">
        <v>184253</v>
      </c>
      <c r="AH7" s="266">
        <v>367030</v>
      </c>
      <c r="AI7" s="275">
        <f t="shared" si="37"/>
        <v>649225</v>
      </c>
      <c r="AJ7" s="273">
        <v>107241</v>
      </c>
      <c r="AK7" s="265">
        <v>182856</v>
      </c>
      <c r="AL7" s="266">
        <v>394383</v>
      </c>
      <c r="AM7" s="295">
        <f t="shared" si="38"/>
        <v>684480</v>
      </c>
      <c r="AN7" s="299">
        <f t="shared" ref="AN7:AP7" si="53">AN44*AN$31</f>
        <v>109634.98072027254</v>
      </c>
      <c r="AO7" s="300">
        <f t="shared" si="53"/>
        <v>210373.50773788319</v>
      </c>
      <c r="AP7" s="301">
        <f t="shared" si="53"/>
        <v>399343.2673457262</v>
      </c>
      <c r="AQ7" s="295">
        <f t="shared" si="40"/>
        <v>719351.75580388191</v>
      </c>
      <c r="AR7" s="299">
        <f t="shared" ref="AR7:AT7" si="54">AR44*AR$31</f>
        <v>105696.89741807801</v>
      </c>
      <c r="AS7" s="300">
        <f t="shared" si="54"/>
        <v>211160.58551444864</v>
      </c>
      <c r="AT7" s="301">
        <f t="shared" si="54"/>
        <v>384389.94515825371</v>
      </c>
      <c r="AU7" s="295">
        <f t="shared" si="42"/>
        <v>701247.42809078027</v>
      </c>
      <c r="AV7" s="299">
        <f t="shared" ref="AV7:AX7" si="55">AV44*AV$31</f>
        <v>107653.85121747739</v>
      </c>
      <c r="AW7" s="300">
        <f t="shared" si="55"/>
        <v>224656.49588688146</v>
      </c>
      <c r="AX7" s="301">
        <f t="shared" si="55"/>
        <v>393655.92668197642</v>
      </c>
      <c r="AY7" s="295">
        <f t="shared" si="44"/>
        <v>725966.27378633525</v>
      </c>
      <c r="AZ7" s="299">
        <f t="shared" ref="AZ7:BB7" si="56">AZ44*AZ$31</f>
        <v>107325.64287619114</v>
      </c>
      <c r="BA7" s="300">
        <f t="shared" si="56"/>
        <v>234236.0101336911</v>
      </c>
      <c r="BB7" s="301">
        <f t="shared" si="56"/>
        <v>393832.75151494204</v>
      </c>
      <c r="BC7" s="295">
        <f t="shared" si="46"/>
        <v>735394.40452482435</v>
      </c>
      <c r="BD7" s="299">
        <f t="shared" ref="BD7:BF7" si="57">BD44*BD$31</f>
        <v>106653.86318240041</v>
      </c>
      <c r="BE7" s="300">
        <f t="shared" si="57"/>
        <v>243851.79995969511</v>
      </c>
      <c r="BF7" s="301">
        <f t="shared" si="57"/>
        <v>393300.92812468612</v>
      </c>
      <c r="BG7" s="295">
        <f t="shared" si="48"/>
        <v>743806.59126678167</v>
      </c>
      <c r="BH7" s="299">
        <f t="shared" ref="BH7:BJ7" si="58">BH44*BH$31</f>
        <v>105638.51213610545</v>
      </c>
      <c r="BI7" s="300">
        <f t="shared" si="58"/>
        <v>253503.86536489392</v>
      </c>
      <c r="BJ7" s="301">
        <f t="shared" si="58"/>
        <v>392060.45651121571</v>
      </c>
      <c r="BK7" s="295">
        <f t="shared" si="50"/>
        <v>751202.83401221503</v>
      </c>
      <c r="BL7" s="299">
        <f t="shared" ref="BL7:BN7" si="59">BL44*BL$31</f>
        <v>104279.58973730594</v>
      </c>
      <c r="BM7" s="300">
        <f t="shared" si="59"/>
        <v>263192.20634928643</v>
      </c>
      <c r="BN7" s="301">
        <f t="shared" si="59"/>
        <v>390111.33667452581</v>
      </c>
      <c r="BO7" s="275">
        <f t="shared" si="52"/>
        <v>757583.13276111824</v>
      </c>
    </row>
    <row r="8" spans="1:67" x14ac:dyDescent="0.35">
      <c r="B8" t="s">
        <v>6</v>
      </c>
      <c r="D8" s="143"/>
      <c r="E8" s="144"/>
      <c r="F8" s="145"/>
      <c r="G8" s="270"/>
      <c r="H8" s="273">
        <v>108174</v>
      </c>
      <c r="I8" s="265">
        <v>196489</v>
      </c>
      <c r="J8" s="266">
        <v>253712</v>
      </c>
      <c r="K8" s="275">
        <f t="shared" si="34"/>
        <v>558375</v>
      </c>
      <c r="L8" s="273">
        <v>111031</v>
      </c>
      <c r="M8" s="265">
        <v>197843</v>
      </c>
      <c r="N8" s="266">
        <v>271811</v>
      </c>
      <c r="O8" s="275">
        <v>580685</v>
      </c>
      <c r="P8" s="273">
        <v>120104</v>
      </c>
      <c r="Q8" s="265">
        <v>217044</v>
      </c>
      <c r="R8" s="266">
        <v>277853</v>
      </c>
      <c r="S8" s="275">
        <v>615001</v>
      </c>
      <c r="T8" s="273">
        <v>130332</v>
      </c>
      <c r="U8" s="265">
        <v>218101</v>
      </c>
      <c r="V8" s="266">
        <v>304449</v>
      </c>
      <c r="W8" s="275">
        <v>652882</v>
      </c>
      <c r="X8" s="273">
        <v>126244</v>
      </c>
      <c r="Y8" s="265">
        <v>219742</v>
      </c>
      <c r="Z8" s="266">
        <v>312727</v>
      </c>
      <c r="AA8" s="275">
        <f t="shared" si="35"/>
        <v>658713</v>
      </c>
      <c r="AB8" s="273">
        <v>139228</v>
      </c>
      <c r="AC8" s="265">
        <v>234787</v>
      </c>
      <c r="AD8" s="266">
        <v>315761</v>
      </c>
      <c r="AE8" s="275">
        <f t="shared" si="36"/>
        <v>689776</v>
      </c>
      <c r="AF8" s="273">
        <v>141006</v>
      </c>
      <c r="AG8" s="265">
        <v>251925</v>
      </c>
      <c r="AH8" s="266">
        <v>318525</v>
      </c>
      <c r="AI8" s="275">
        <f t="shared" si="37"/>
        <v>711456</v>
      </c>
      <c r="AJ8" s="273">
        <v>137129</v>
      </c>
      <c r="AK8" s="265">
        <v>248395</v>
      </c>
      <c r="AL8" s="266">
        <v>316263</v>
      </c>
      <c r="AM8" s="295">
        <f t="shared" si="38"/>
        <v>701787</v>
      </c>
      <c r="AN8" s="299">
        <f t="shared" ref="AN8:AP8" si="60">AN45*AN$31</f>
        <v>158339.77517638585</v>
      </c>
      <c r="AO8" s="300">
        <f t="shared" si="60"/>
        <v>277675.28955777362</v>
      </c>
      <c r="AP8" s="301">
        <f t="shared" si="60"/>
        <v>353774.46570886031</v>
      </c>
      <c r="AQ8" s="295">
        <f t="shared" si="40"/>
        <v>789789.53044301982</v>
      </c>
      <c r="AR8" s="299">
        <f t="shared" ref="AR8:AT8" si="61">AR45*AR$31</f>
        <v>159374.9747175464</v>
      </c>
      <c r="AS8" s="300">
        <f t="shared" si="61"/>
        <v>277831.10297218384</v>
      </c>
      <c r="AT8" s="301">
        <f t="shared" si="61"/>
        <v>349354.8427515403</v>
      </c>
      <c r="AU8" s="295">
        <f t="shared" si="42"/>
        <v>786560.92044127057</v>
      </c>
      <c r="AV8" s="299">
        <f t="shared" ref="AV8:AX8" si="62">AV45*AV$31</f>
        <v>169730.07788875545</v>
      </c>
      <c r="AW8" s="300">
        <f t="shared" si="62"/>
        <v>294652.36454426678</v>
      </c>
      <c r="AX8" s="301">
        <f t="shared" si="62"/>
        <v>367346.83057005017</v>
      </c>
      <c r="AY8" s="295">
        <f t="shared" si="44"/>
        <v>831729.27300307236</v>
      </c>
      <c r="AZ8" s="299">
        <f t="shared" ref="AZ8:BB8" si="63">AZ45*AZ$31</f>
        <v>177220.39320950114</v>
      </c>
      <c r="BA8" s="300">
        <f t="shared" si="63"/>
        <v>306244.76397479844</v>
      </c>
      <c r="BB8" s="301">
        <f t="shared" si="63"/>
        <v>377665.40896660479</v>
      </c>
      <c r="BC8" s="295">
        <f t="shared" si="46"/>
        <v>861130.5661509044</v>
      </c>
      <c r="BD8" s="299">
        <f t="shared" ref="BD8:BF8" si="64">BD45*BD$31</f>
        <v>184773.54665875866</v>
      </c>
      <c r="BE8" s="300">
        <f t="shared" si="64"/>
        <v>317808.96471506089</v>
      </c>
      <c r="BF8" s="301">
        <f t="shared" si="64"/>
        <v>387927.24756207806</v>
      </c>
      <c r="BG8" s="295">
        <f t="shared" si="48"/>
        <v>890509.75893589761</v>
      </c>
      <c r="BH8" s="299">
        <f t="shared" ref="BH8:BJ8" si="65">BH45*BH$31</f>
        <v>192389.5382365282</v>
      </c>
      <c r="BI8" s="300">
        <f t="shared" si="65"/>
        <v>329344.96676505468</v>
      </c>
      <c r="BJ8" s="301">
        <f t="shared" si="65"/>
        <v>398132.34635647002</v>
      </c>
      <c r="BK8" s="295">
        <f t="shared" si="50"/>
        <v>919866.85135805293</v>
      </c>
      <c r="BL8" s="299">
        <f t="shared" ref="BL8:BN8" si="66">BL45*BL$31</f>
        <v>200068.3679428091</v>
      </c>
      <c r="BM8" s="300">
        <f t="shared" si="66"/>
        <v>340852.77012477885</v>
      </c>
      <c r="BN8" s="301">
        <f t="shared" si="66"/>
        <v>408280.70534978301</v>
      </c>
      <c r="BO8" s="275">
        <f t="shared" si="52"/>
        <v>949201.84341737092</v>
      </c>
    </row>
    <row r="9" spans="1:67" x14ac:dyDescent="0.35">
      <c r="B9" t="s">
        <v>7</v>
      </c>
      <c r="D9" s="143"/>
      <c r="E9" s="144"/>
      <c r="F9" s="145"/>
      <c r="G9" s="270"/>
      <c r="H9" s="273">
        <v>94694</v>
      </c>
      <c r="I9" s="265">
        <v>87414</v>
      </c>
      <c r="J9" s="266">
        <v>86374</v>
      </c>
      <c r="K9" s="275">
        <f t="shared" si="34"/>
        <v>268482</v>
      </c>
      <c r="L9" s="273">
        <v>100338</v>
      </c>
      <c r="M9" s="265">
        <v>82932</v>
      </c>
      <c r="N9" s="266">
        <v>83222</v>
      </c>
      <c r="O9" s="275">
        <v>266492</v>
      </c>
      <c r="P9" s="273">
        <v>93538</v>
      </c>
      <c r="Q9" s="265">
        <v>85482</v>
      </c>
      <c r="R9" s="266">
        <v>75977</v>
      </c>
      <c r="S9" s="275">
        <v>254997</v>
      </c>
      <c r="T9" s="273">
        <v>94920</v>
      </c>
      <c r="U9" s="265">
        <v>98363</v>
      </c>
      <c r="V9" s="266">
        <v>82278</v>
      </c>
      <c r="W9" s="275">
        <v>275561</v>
      </c>
      <c r="X9" s="273">
        <v>95539</v>
      </c>
      <c r="Y9" s="265">
        <v>100905</v>
      </c>
      <c r="Z9" s="266">
        <v>85652</v>
      </c>
      <c r="AA9" s="275">
        <f t="shared" si="35"/>
        <v>282096</v>
      </c>
      <c r="AB9" s="273">
        <v>96252</v>
      </c>
      <c r="AC9" s="265">
        <v>103212</v>
      </c>
      <c r="AD9" s="266">
        <v>89160</v>
      </c>
      <c r="AE9" s="275">
        <f t="shared" si="36"/>
        <v>288624</v>
      </c>
      <c r="AF9" s="273">
        <v>103202</v>
      </c>
      <c r="AG9" s="265">
        <v>97663</v>
      </c>
      <c r="AH9" s="266">
        <v>84803</v>
      </c>
      <c r="AI9" s="275">
        <f t="shared" si="37"/>
        <v>285668</v>
      </c>
      <c r="AJ9" s="273">
        <v>104846</v>
      </c>
      <c r="AK9" s="265">
        <v>103317</v>
      </c>
      <c r="AL9" s="266">
        <v>101838</v>
      </c>
      <c r="AM9" s="295">
        <f t="shared" si="38"/>
        <v>310001</v>
      </c>
      <c r="AN9" s="299">
        <f t="shared" ref="AN9:AP9" si="67">AN46*AN$31</f>
        <v>108059.26988393662</v>
      </c>
      <c r="AO9" s="300">
        <f t="shared" si="67"/>
        <v>115261.46207600048</v>
      </c>
      <c r="AP9" s="301">
        <f t="shared" si="67"/>
        <v>97312.734193637487</v>
      </c>
      <c r="AQ9" s="295">
        <f t="shared" si="40"/>
        <v>320633.46615357458</v>
      </c>
      <c r="AR9" s="299">
        <f t="shared" ref="AR9:AT9" si="68">AR46*AR$31</f>
        <v>105543.13266135129</v>
      </c>
      <c r="AS9" s="300">
        <f t="shared" si="68"/>
        <v>114657.01954522534</v>
      </c>
      <c r="AT9" s="301">
        <f t="shared" si="68"/>
        <v>94845.799463605566</v>
      </c>
      <c r="AU9" s="295">
        <f t="shared" si="42"/>
        <v>315045.95167018217</v>
      </c>
      <c r="AV9" s="299">
        <f t="shared" ref="AV9:AX9" si="69">AV46*AV$31</f>
        <v>109001.00546265161</v>
      </c>
      <c r="AW9" s="300">
        <f t="shared" si="69"/>
        <v>120887.61390152047</v>
      </c>
      <c r="AX9" s="301">
        <f t="shared" si="69"/>
        <v>98408.12492595127</v>
      </c>
      <c r="AY9" s="295">
        <f t="shared" si="44"/>
        <v>328296.74429012334</v>
      </c>
      <c r="AZ9" s="299">
        <f t="shared" ref="AZ9:BB9" si="70">AZ46*AZ$31</f>
        <v>110295.0157418443</v>
      </c>
      <c r="BA9" s="300">
        <f t="shared" si="70"/>
        <v>124902.61455339605</v>
      </c>
      <c r="BB9" s="301">
        <f t="shared" si="70"/>
        <v>99806.063035863437</v>
      </c>
      <c r="BC9" s="295">
        <f t="shared" si="46"/>
        <v>335003.69333110377</v>
      </c>
      <c r="BD9" s="299">
        <f t="shared" ref="BD9:BF9" si="71">BD46*BD$31</f>
        <v>111363.92971758761</v>
      </c>
      <c r="BE9" s="300">
        <f t="shared" si="71"/>
        <v>128848.26274095368</v>
      </c>
      <c r="BF9" s="301">
        <f t="shared" si="71"/>
        <v>101107.45150743294</v>
      </c>
      <c r="BG9" s="295">
        <f t="shared" si="48"/>
        <v>341319.64396597422</v>
      </c>
      <c r="BH9" s="299">
        <f t="shared" ref="BH9:BJ9" si="72">BH46*BH$31</f>
        <v>112207.74738988008</v>
      </c>
      <c r="BI9" s="300">
        <f t="shared" si="72"/>
        <v>132724.55846419357</v>
      </c>
      <c r="BJ9" s="301">
        <f t="shared" si="72"/>
        <v>102312.29034065982</v>
      </c>
      <c r="BK9" s="295">
        <f t="shared" si="50"/>
        <v>347244.59619473352</v>
      </c>
      <c r="BL9" s="299">
        <f t="shared" ref="BL9:BN9" si="73">BL46*BL$31</f>
        <v>112826.46875872224</v>
      </c>
      <c r="BM9" s="300">
        <f t="shared" si="73"/>
        <v>136531.50172311527</v>
      </c>
      <c r="BN9" s="301">
        <f t="shared" si="73"/>
        <v>103420.57953554465</v>
      </c>
      <c r="BO9" s="275">
        <f t="shared" si="52"/>
        <v>352778.55001738213</v>
      </c>
    </row>
    <row r="10" spans="1:67" x14ac:dyDescent="0.35">
      <c r="B10" t="s">
        <v>8</v>
      </c>
      <c r="D10" s="143"/>
      <c r="E10" s="144"/>
      <c r="F10" s="145"/>
      <c r="G10" s="270"/>
      <c r="H10" s="273">
        <v>37886</v>
      </c>
      <c r="I10" s="265">
        <v>65243</v>
      </c>
      <c r="J10" s="266">
        <v>453921</v>
      </c>
      <c r="K10" s="275">
        <f t="shared" si="34"/>
        <v>557050</v>
      </c>
      <c r="L10" s="273">
        <v>49529</v>
      </c>
      <c r="M10" s="265">
        <v>66649</v>
      </c>
      <c r="N10" s="266">
        <v>460800</v>
      </c>
      <c r="O10" s="275">
        <v>576978</v>
      </c>
      <c r="P10" s="273">
        <v>57501</v>
      </c>
      <c r="Q10" s="265">
        <v>63930</v>
      </c>
      <c r="R10" s="266">
        <v>454923</v>
      </c>
      <c r="S10" s="275">
        <v>576354</v>
      </c>
      <c r="T10" s="273">
        <v>47148</v>
      </c>
      <c r="U10" s="265">
        <v>72748</v>
      </c>
      <c r="V10" s="266">
        <v>470075</v>
      </c>
      <c r="W10" s="275">
        <v>589971</v>
      </c>
      <c r="X10" s="273">
        <v>47934</v>
      </c>
      <c r="Y10" s="265">
        <v>62502</v>
      </c>
      <c r="Z10" s="266">
        <v>491371</v>
      </c>
      <c r="AA10" s="275">
        <f t="shared" si="35"/>
        <v>601807</v>
      </c>
      <c r="AB10" s="273">
        <v>46994</v>
      </c>
      <c r="AC10" s="265">
        <v>72848</v>
      </c>
      <c r="AD10" s="266">
        <v>495046</v>
      </c>
      <c r="AE10" s="275">
        <f t="shared" si="36"/>
        <v>614888</v>
      </c>
      <c r="AF10" s="273">
        <v>49755</v>
      </c>
      <c r="AG10" s="265">
        <v>73298</v>
      </c>
      <c r="AH10" s="266">
        <v>501632</v>
      </c>
      <c r="AI10" s="275">
        <f t="shared" si="37"/>
        <v>624685</v>
      </c>
      <c r="AJ10" s="273">
        <v>46152</v>
      </c>
      <c r="AK10" s="265">
        <v>74945</v>
      </c>
      <c r="AL10" s="266">
        <v>502427</v>
      </c>
      <c r="AM10" s="295">
        <f t="shared" si="38"/>
        <v>623524</v>
      </c>
      <c r="AN10" s="299">
        <f t="shared" ref="AN10:AP10" si="74">AN47*AN$31</f>
        <v>52195.741825901605</v>
      </c>
      <c r="AO10" s="300">
        <f t="shared" si="74"/>
        <v>79777.179256260453</v>
      </c>
      <c r="AP10" s="301">
        <f t="shared" si="74"/>
        <v>532564.96240731247</v>
      </c>
      <c r="AQ10" s="295">
        <f t="shared" si="40"/>
        <v>664537.88348947454</v>
      </c>
      <c r="AR10" s="299">
        <f t="shared" ref="AR10:AT10" si="75">AR47*AR$31</f>
        <v>50765.082373874975</v>
      </c>
      <c r="AS10" s="300">
        <f t="shared" si="75"/>
        <v>78394.21704674483</v>
      </c>
      <c r="AT10" s="301">
        <f t="shared" si="75"/>
        <v>516946.50253117702</v>
      </c>
      <c r="AU10" s="295">
        <f t="shared" si="42"/>
        <v>646105.80195179686</v>
      </c>
      <c r="AV10" s="299">
        <f t="shared" ref="AV10:AX10" si="76">AV47*AV$31</f>
        <v>52194.229409865824</v>
      </c>
      <c r="AW10" s="300">
        <f t="shared" si="76"/>
        <v>81622.847057471692</v>
      </c>
      <c r="AX10" s="301">
        <f t="shared" si="76"/>
        <v>534095.14465114265</v>
      </c>
      <c r="AY10" s="295">
        <f t="shared" si="44"/>
        <v>667912.2211184802</v>
      </c>
      <c r="AZ10" s="299">
        <f t="shared" ref="AZ10:BB10" si="77">AZ47*AZ$31</f>
        <v>52564.220349390947</v>
      </c>
      <c r="BA10" s="300">
        <f t="shared" si="77"/>
        <v>83252.925727770998</v>
      </c>
      <c r="BB10" s="301">
        <f t="shared" si="77"/>
        <v>539307.88845771994</v>
      </c>
      <c r="BC10" s="295">
        <f t="shared" si="46"/>
        <v>675125.03453488182</v>
      </c>
      <c r="BD10" s="299">
        <f t="shared" ref="BD10:BF10" si="78">BD47*BD$31</f>
        <v>52807.580353604899</v>
      </c>
      <c r="BE10" s="300">
        <f t="shared" si="78"/>
        <v>84751.898332939047</v>
      </c>
      <c r="BF10" s="301">
        <f t="shared" si="78"/>
        <v>543855.25389113231</v>
      </c>
      <c r="BG10" s="295">
        <f t="shared" si="48"/>
        <v>681414.73257767619</v>
      </c>
      <c r="BH10" s="299">
        <f t="shared" ref="BH10:BJ10" si="79">BH47*BH$31</f>
        <v>52924.309422508639</v>
      </c>
      <c r="BI10" s="300">
        <f t="shared" si="79"/>
        <v>86119.764872976011</v>
      </c>
      <c r="BJ10" s="301">
        <f t="shared" si="79"/>
        <v>547737.24095138698</v>
      </c>
      <c r="BK10" s="295">
        <f t="shared" si="50"/>
        <v>686781.31524687167</v>
      </c>
      <c r="BL10" s="299">
        <f t="shared" ref="BL10:BN10" si="80">BL47*BL$31</f>
        <v>52914.407556101607</v>
      </c>
      <c r="BM10" s="300">
        <f t="shared" si="80"/>
        <v>87356.525347881558</v>
      </c>
      <c r="BN10" s="301">
        <f t="shared" si="80"/>
        <v>550953.84963848349</v>
      </c>
      <c r="BO10" s="275">
        <f t="shared" si="52"/>
        <v>691224.78254246665</v>
      </c>
    </row>
    <row r="11" spans="1:67" x14ac:dyDescent="0.35">
      <c r="B11" t="s">
        <v>9</v>
      </c>
      <c r="D11" s="143"/>
      <c r="E11" s="144"/>
      <c r="F11" s="145"/>
      <c r="G11" s="270"/>
      <c r="H11" s="273">
        <v>84884</v>
      </c>
      <c r="I11" s="265">
        <v>11946</v>
      </c>
      <c r="J11" s="266">
        <v>4799</v>
      </c>
      <c r="K11" s="275">
        <f t="shared" si="34"/>
        <v>101629</v>
      </c>
      <c r="L11" s="273">
        <v>90084</v>
      </c>
      <c r="M11" s="265">
        <v>11357</v>
      </c>
      <c r="N11" s="266">
        <v>6411</v>
      </c>
      <c r="O11" s="275">
        <v>107852</v>
      </c>
      <c r="P11" s="273">
        <v>74534</v>
      </c>
      <c r="Q11" s="265">
        <v>12211</v>
      </c>
      <c r="R11" s="266">
        <v>4364</v>
      </c>
      <c r="S11" s="275">
        <v>91109</v>
      </c>
      <c r="T11" s="273">
        <v>77723</v>
      </c>
      <c r="U11" s="265">
        <v>12110</v>
      </c>
      <c r="V11" s="266">
        <v>2866</v>
      </c>
      <c r="W11" s="275">
        <v>92699</v>
      </c>
      <c r="X11" s="273">
        <v>87019</v>
      </c>
      <c r="Y11" s="265">
        <v>10354</v>
      </c>
      <c r="Z11" s="266">
        <v>4011</v>
      </c>
      <c r="AA11" s="275">
        <f t="shared" si="35"/>
        <v>101384</v>
      </c>
      <c r="AB11" s="273">
        <v>103293</v>
      </c>
      <c r="AC11" s="265">
        <v>10446</v>
      </c>
      <c r="AD11" s="266">
        <v>4684</v>
      </c>
      <c r="AE11" s="275">
        <f t="shared" si="36"/>
        <v>118423</v>
      </c>
      <c r="AF11" s="273">
        <v>103002</v>
      </c>
      <c r="AG11" s="265">
        <v>9770</v>
      </c>
      <c r="AH11" s="266">
        <v>5304</v>
      </c>
      <c r="AI11" s="275">
        <f t="shared" si="37"/>
        <v>118076</v>
      </c>
      <c r="AJ11" s="273">
        <v>105128</v>
      </c>
      <c r="AK11" s="265">
        <v>15493</v>
      </c>
      <c r="AL11" s="266">
        <v>4125</v>
      </c>
      <c r="AM11" s="295">
        <f t="shared" si="38"/>
        <v>124746</v>
      </c>
      <c r="AN11" s="299">
        <f t="shared" ref="AN11:AP11" si="81">AN48*AN$31</f>
        <v>113141.34322180228</v>
      </c>
      <c r="AO11" s="300">
        <f t="shared" si="81"/>
        <v>12712.754830965661</v>
      </c>
      <c r="AP11" s="301">
        <f t="shared" si="81"/>
        <v>4112.4967924621069</v>
      </c>
      <c r="AQ11" s="295">
        <f t="shared" si="40"/>
        <v>129966.59484523004</v>
      </c>
      <c r="AR11" s="299">
        <f t="shared" ref="AR11:AT11" si="82">AR48*AR$31</f>
        <v>113893.24674957919</v>
      </c>
      <c r="AS11" s="300">
        <f t="shared" si="82"/>
        <v>12288.485930311301</v>
      </c>
      <c r="AT11" s="301">
        <f t="shared" si="82"/>
        <v>3749.8686007979609</v>
      </c>
      <c r="AU11" s="295">
        <f t="shared" si="42"/>
        <v>129931.60128068845</v>
      </c>
      <c r="AV11" s="299">
        <f t="shared" ref="AV11:AX11" si="83">AV48*AV$31</f>
        <v>121306.13041206305</v>
      </c>
      <c r="AW11" s="300">
        <f t="shared" si="83"/>
        <v>12573.890348353481</v>
      </c>
      <c r="AX11" s="301">
        <f t="shared" si="83"/>
        <v>3614.0602536809752</v>
      </c>
      <c r="AY11" s="295">
        <f t="shared" si="44"/>
        <v>137494.08101409749</v>
      </c>
      <c r="AZ11" s="299">
        <f t="shared" ref="AZ11:BB11" si="84">AZ48*AZ$31</f>
        <v>126672.77677883905</v>
      </c>
      <c r="BA11" s="300">
        <f t="shared" si="84"/>
        <v>12590.811055278631</v>
      </c>
      <c r="BB11" s="301">
        <f t="shared" si="84"/>
        <v>3375.7023873404883</v>
      </c>
      <c r="BC11" s="295">
        <f t="shared" si="46"/>
        <v>142639.29022145816</v>
      </c>
      <c r="BD11" s="299">
        <f t="shared" ref="BD11:BF11" si="85">BD48*BD$31</f>
        <v>132085.33882815708</v>
      </c>
      <c r="BE11" s="300">
        <f t="shared" si="85"/>
        <v>12569.273699639298</v>
      </c>
      <c r="BF11" s="301">
        <f t="shared" si="85"/>
        <v>3116.5500163315828</v>
      </c>
      <c r="BG11" s="295">
        <f t="shared" si="48"/>
        <v>147771.16254412796</v>
      </c>
      <c r="BH11" s="299">
        <f t="shared" ref="BH11:BJ11" si="86">BH48*BH$31</f>
        <v>137543.81656001791</v>
      </c>
      <c r="BI11" s="300">
        <f t="shared" si="86"/>
        <v>12509.278281435949</v>
      </c>
      <c r="BJ11" s="301">
        <f t="shared" si="86"/>
        <v>2836.6031406540387</v>
      </c>
      <c r="BK11" s="295">
        <f t="shared" si="50"/>
        <v>152889.6979821079</v>
      </c>
      <c r="BL11" s="299">
        <f t="shared" ref="BL11:BN11" si="87">BL48*BL$31</f>
        <v>143048.20997442069</v>
      </c>
      <c r="BM11" s="300">
        <f t="shared" si="87"/>
        <v>12410.824800668077</v>
      </c>
      <c r="BN11" s="301">
        <f t="shared" si="87"/>
        <v>2535.8617603080975</v>
      </c>
      <c r="BO11" s="275">
        <f t="shared" si="52"/>
        <v>157994.89653539687</v>
      </c>
    </row>
    <row r="12" spans="1:67" x14ac:dyDescent="0.35">
      <c r="B12" t="s">
        <v>10</v>
      </c>
      <c r="D12" s="143"/>
      <c r="E12" s="144"/>
      <c r="F12" s="145"/>
      <c r="G12" s="270"/>
      <c r="H12" s="273">
        <v>39596</v>
      </c>
      <c r="I12" s="265">
        <v>453326</v>
      </c>
      <c r="J12" s="266">
        <v>38823</v>
      </c>
      <c r="K12" s="275">
        <f t="shared" si="34"/>
        <v>531745</v>
      </c>
      <c r="L12" s="273">
        <v>44313</v>
      </c>
      <c r="M12" s="265">
        <v>422396</v>
      </c>
      <c r="N12" s="266">
        <v>42955</v>
      </c>
      <c r="O12" s="275">
        <v>509664</v>
      </c>
      <c r="P12" s="273">
        <v>46191</v>
      </c>
      <c r="Q12" s="265">
        <v>417100</v>
      </c>
      <c r="R12" s="266">
        <v>44570</v>
      </c>
      <c r="S12" s="275">
        <v>507861</v>
      </c>
      <c r="T12" s="273">
        <v>45191</v>
      </c>
      <c r="U12" s="265">
        <v>441386</v>
      </c>
      <c r="V12" s="266">
        <v>49164</v>
      </c>
      <c r="W12" s="275">
        <v>535741</v>
      </c>
      <c r="X12" s="273">
        <v>48881</v>
      </c>
      <c r="Y12" s="265">
        <v>452862</v>
      </c>
      <c r="Z12" s="266">
        <v>48575</v>
      </c>
      <c r="AA12" s="275">
        <f t="shared" si="35"/>
        <v>550318</v>
      </c>
      <c r="AB12" s="273">
        <v>47089</v>
      </c>
      <c r="AC12" s="265">
        <v>450529</v>
      </c>
      <c r="AD12" s="266">
        <v>46328</v>
      </c>
      <c r="AE12" s="275">
        <f t="shared" si="36"/>
        <v>543946</v>
      </c>
      <c r="AF12" s="273">
        <v>46339</v>
      </c>
      <c r="AG12" s="265">
        <v>478222</v>
      </c>
      <c r="AH12" s="266">
        <v>49667</v>
      </c>
      <c r="AI12" s="275">
        <f t="shared" si="37"/>
        <v>574228</v>
      </c>
      <c r="AJ12" s="273">
        <v>48997</v>
      </c>
      <c r="AK12" s="265">
        <v>493740</v>
      </c>
      <c r="AL12" s="266">
        <v>53875</v>
      </c>
      <c r="AM12" s="295">
        <f t="shared" si="38"/>
        <v>596612</v>
      </c>
      <c r="AN12" s="299">
        <f t="shared" ref="AN12:AP12" si="88">AN49*AN$31</f>
        <v>53258.132157326545</v>
      </c>
      <c r="AO12" s="300">
        <f t="shared" si="88"/>
        <v>514512.72929546004</v>
      </c>
      <c r="AP12" s="301">
        <f t="shared" si="88"/>
        <v>56767.855558628515</v>
      </c>
      <c r="AQ12" s="295">
        <f t="shared" si="40"/>
        <v>624538.71701141517</v>
      </c>
      <c r="AR12" s="299">
        <f t="shared" ref="AR12:AT12" si="89">AR49*AR$31</f>
        <v>52686.367685721823</v>
      </c>
      <c r="AS12" s="300">
        <f t="shared" si="89"/>
        <v>503933.70453906886</v>
      </c>
      <c r="AT12" s="301">
        <f t="shared" si="89"/>
        <v>56287.299933933158</v>
      </c>
      <c r="AU12" s="295">
        <f t="shared" si="42"/>
        <v>612907.37215872388</v>
      </c>
      <c r="AV12" s="299">
        <f t="shared" ref="AV12:AX12" si="90">AV49*AV$31</f>
        <v>55139.086707235219</v>
      </c>
      <c r="AW12" s="300">
        <f t="shared" si="90"/>
        <v>522891.41920323897</v>
      </c>
      <c r="AX12" s="301">
        <f t="shared" si="90"/>
        <v>59427.747269791173</v>
      </c>
      <c r="AY12" s="295">
        <f t="shared" si="44"/>
        <v>637458.25318026543</v>
      </c>
      <c r="AZ12" s="299">
        <f t="shared" ref="AZ12:BB12" si="91">AZ49*AZ$31</f>
        <v>56568.623267718416</v>
      </c>
      <c r="BA12" s="300">
        <f t="shared" si="91"/>
        <v>531427.55310422613</v>
      </c>
      <c r="BB12" s="301">
        <f t="shared" si="91"/>
        <v>61346.698787476314</v>
      </c>
      <c r="BC12" s="295">
        <f t="shared" si="46"/>
        <v>649342.87515942089</v>
      </c>
      <c r="BD12" s="299">
        <f t="shared" ref="BD12:BF12" si="92">BD49*BD$31</f>
        <v>57942.795426737139</v>
      </c>
      <c r="BE12" s="300">
        <f t="shared" si="92"/>
        <v>538975.13793296402</v>
      </c>
      <c r="BF12" s="301">
        <f t="shared" si="92"/>
        <v>63271.335893924777</v>
      </c>
      <c r="BG12" s="295">
        <f t="shared" si="48"/>
        <v>660189.269253626</v>
      </c>
      <c r="BH12" s="299">
        <f t="shared" ref="BH12:BJ12" si="93">BH49*BH$31</f>
        <v>59261.603184291715</v>
      </c>
      <c r="BI12" s="300">
        <f t="shared" si="93"/>
        <v>545534.17368946073</v>
      </c>
      <c r="BJ12" s="301">
        <f t="shared" si="93"/>
        <v>65201.658589136532</v>
      </c>
      <c r="BK12" s="295">
        <f t="shared" si="50"/>
        <v>669997.43546288903</v>
      </c>
      <c r="BL12" s="299">
        <f t="shared" ref="BL12:BN12" si="94">BL49*BL$31</f>
        <v>60525.046540381991</v>
      </c>
      <c r="BM12" s="300">
        <f t="shared" si="94"/>
        <v>551104.66037370695</v>
      </c>
      <c r="BN12" s="301">
        <f t="shared" si="94"/>
        <v>67137.666873111972</v>
      </c>
      <c r="BO12" s="275">
        <f t="shared" si="52"/>
        <v>678767.37378720089</v>
      </c>
    </row>
    <row r="13" spans="1:67" x14ac:dyDescent="0.35">
      <c r="B13" t="s">
        <v>11</v>
      </c>
      <c r="D13" s="143"/>
      <c r="E13" s="144"/>
      <c r="F13" s="145"/>
      <c r="G13" s="270"/>
      <c r="H13" s="273">
        <v>49026</v>
      </c>
      <c r="I13" s="265">
        <v>421335</v>
      </c>
      <c r="J13" s="266">
        <v>28811</v>
      </c>
      <c r="K13" s="275">
        <f t="shared" si="34"/>
        <v>499172</v>
      </c>
      <c r="L13" s="273">
        <v>52178</v>
      </c>
      <c r="M13" s="265">
        <v>417004</v>
      </c>
      <c r="N13" s="266">
        <v>29005</v>
      </c>
      <c r="O13" s="275">
        <v>498187</v>
      </c>
      <c r="P13" s="273">
        <v>57646</v>
      </c>
      <c r="Q13" s="265">
        <v>419682</v>
      </c>
      <c r="R13" s="266">
        <v>31108</v>
      </c>
      <c r="S13" s="275">
        <v>508436</v>
      </c>
      <c r="T13" s="273">
        <v>61699</v>
      </c>
      <c r="U13" s="265">
        <v>442604</v>
      </c>
      <c r="V13" s="266">
        <v>27617</v>
      </c>
      <c r="W13" s="275">
        <v>531920</v>
      </c>
      <c r="X13" s="273">
        <v>65176</v>
      </c>
      <c r="Y13" s="265">
        <v>442993</v>
      </c>
      <c r="Z13" s="266">
        <v>23909</v>
      </c>
      <c r="AA13" s="275">
        <f t="shared" si="35"/>
        <v>532078</v>
      </c>
      <c r="AB13" s="273">
        <v>63090</v>
      </c>
      <c r="AC13" s="265">
        <v>492776</v>
      </c>
      <c r="AD13" s="266">
        <v>26694</v>
      </c>
      <c r="AE13" s="275">
        <f t="shared" si="36"/>
        <v>582560</v>
      </c>
      <c r="AF13" s="273">
        <v>65863</v>
      </c>
      <c r="AG13" s="265">
        <v>519035</v>
      </c>
      <c r="AH13" s="266">
        <v>25785</v>
      </c>
      <c r="AI13" s="275">
        <f t="shared" si="37"/>
        <v>610683</v>
      </c>
      <c r="AJ13" s="273">
        <v>65470</v>
      </c>
      <c r="AK13" s="265">
        <v>544054</v>
      </c>
      <c r="AL13" s="266">
        <v>31661</v>
      </c>
      <c r="AM13" s="295">
        <f t="shared" si="38"/>
        <v>641185</v>
      </c>
      <c r="AN13" s="299">
        <f t="shared" ref="AN13:AP13" si="95">AN50*AN$31</f>
        <v>75827.798822339159</v>
      </c>
      <c r="AO13" s="300">
        <f t="shared" si="95"/>
        <v>583533.57624311838</v>
      </c>
      <c r="AP13" s="301">
        <f t="shared" si="95"/>
        <v>27666.226135899975</v>
      </c>
      <c r="AQ13" s="295">
        <f t="shared" si="40"/>
        <v>687027.60120135755</v>
      </c>
      <c r="AR13" s="299">
        <f t="shared" ref="AR13:AT13" si="96">AR50*AR$31</f>
        <v>76496.822205114862</v>
      </c>
      <c r="AS13" s="300">
        <f t="shared" si="96"/>
        <v>585849.79813507758</v>
      </c>
      <c r="AT13" s="301">
        <f t="shared" si="96"/>
        <v>25974.252211761392</v>
      </c>
      <c r="AU13" s="295">
        <f t="shared" si="42"/>
        <v>688320.87255195389</v>
      </c>
      <c r="AV13" s="299">
        <f t="shared" ref="AV13:AX13" si="97">AV50*AV$31</f>
        <v>81649.856203624004</v>
      </c>
      <c r="AW13" s="300">
        <f t="shared" si="97"/>
        <v>623434.19317332213</v>
      </c>
      <c r="AX13" s="301">
        <f t="shared" si="97"/>
        <v>25889.131880794786</v>
      </c>
      <c r="AY13" s="295">
        <f t="shared" si="44"/>
        <v>730973.18125774094</v>
      </c>
      <c r="AZ13" s="299">
        <f t="shared" ref="AZ13:BB13" si="98">AZ50*AZ$31</f>
        <v>85442.189407943573</v>
      </c>
      <c r="BA13" s="300">
        <f t="shared" si="98"/>
        <v>650164.26791394653</v>
      </c>
      <c r="BB13" s="301">
        <f t="shared" si="98"/>
        <v>25146.185696468336</v>
      </c>
      <c r="BC13" s="295">
        <f t="shared" si="46"/>
        <v>760752.6430183585</v>
      </c>
      <c r="BD13" s="299">
        <f t="shared" ref="BD13:BF13" si="99">BD50*BD$31</f>
        <v>89279.024136653476</v>
      </c>
      <c r="BE13" s="300">
        <f t="shared" si="99"/>
        <v>677006.42460820358</v>
      </c>
      <c r="BF13" s="301">
        <f t="shared" si="99"/>
        <v>24311.706932945221</v>
      </c>
      <c r="BG13" s="295">
        <f t="shared" si="48"/>
        <v>790597.15567780228</v>
      </c>
      <c r="BH13" s="299">
        <f t="shared" ref="BH13:BJ13" si="100">BH50*BH$31</f>
        <v>93160.3603897539</v>
      </c>
      <c r="BI13" s="300">
        <f t="shared" si="100"/>
        <v>703960.66325609467</v>
      </c>
      <c r="BJ13" s="301">
        <f t="shared" si="100"/>
        <v>23385.695590224572</v>
      </c>
      <c r="BK13" s="295">
        <f t="shared" si="50"/>
        <v>820506.7192360732</v>
      </c>
      <c r="BL13" s="299">
        <f t="shared" ref="BL13:BN13" si="101">BL50*BL$31</f>
        <v>97086.198167244627</v>
      </c>
      <c r="BM13" s="300">
        <f t="shared" si="101"/>
        <v>731026.98385761725</v>
      </c>
      <c r="BN13" s="301">
        <f t="shared" si="101"/>
        <v>22368.151668307415</v>
      </c>
      <c r="BO13" s="275">
        <f t="shared" si="52"/>
        <v>850481.33369316929</v>
      </c>
    </row>
    <row r="14" spans="1:67" ht="15" thickBot="1" x14ac:dyDescent="0.4">
      <c r="B14" t="s">
        <v>12</v>
      </c>
      <c r="D14" s="146"/>
      <c r="E14" s="147"/>
      <c r="F14" s="148"/>
      <c r="G14" s="271"/>
      <c r="H14" s="274">
        <v>55236</v>
      </c>
      <c r="I14" s="268">
        <v>119751</v>
      </c>
      <c r="J14" s="269">
        <v>128702</v>
      </c>
      <c r="K14" s="275">
        <f t="shared" si="34"/>
        <v>303689</v>
      </c>
      <c r="L14" s="274">
        <v>57264</v>
      </c>
      <c r="M14" s="268">
        <v>108449</v>
      </c>
      <c r="N14" s="269">
        <v>129238</v>
      </c>
      <c r="O14" s="275">
        <v>294951</v>
      </c>
      <c r="P14" s="274">
        <v>65677</v>
      </c>
      <c r="Q14" s="268">
        <v>103053</v>
      </c>
      <c r="R14" s="269">
        <v>119558</v>
      </c>
      <c r="S14" s="275">
        <v>288288</v>
      </c>
      <c r="T14" s="274">
        <v>71519</v>
      </c>
      <c r="U14" s="268">
        <v>107401</v>
      </c>
      <c r="V14" s="269">
        <v>113431</v>
      </c>
      <c r="W14" s="275">
        <v>292351</v>
      </c>
      <c r="X14" s="274">
        <v>70254</v>
      </c>
      <c r="Y14" s="268">
        <v>108348</v>
      </c>
      <c r="Z14" s="269">
        <v>113554</v>
      </c>
      <c r="AA14" s="275">
        <f t="shared" si="35"/>
        <v>292156</v>
      </c>
      <c r="AB14" s="274">
        <v>68728</v>
      </c>
      <c r="AC14" s="268">
        <v>108687</v>
      </c>
      <c r="AD14" s="269">
        <v>132171</v>
      </c>
      <c r="AE14" s="275">
        <f t="shared" si="36"/>
        <v>309586</v>
      </c>
      <c r="AF14" s="274">
        <v>68717</v>
      </c>
      <c r="AG14" s="268">
        <v>121811</v>
      </c>
      <c r="AH14" s="269">
        <v>138309</v>
      </c>
      <c r="AI14" s="275">
        <f t="shared" si="37"/>
        <v>328837</v>
      </c>
      <c r="AJ14" s="274">
        <v>68317</v>
      </c>
      <c r="AK14" s="268">
        <v>130583</v>
      </c>
      <c r="AL14" s="269">
        <v>129818</v>
      </c>
      <c r="AM14" s="295">
        <f t="shared" si="38"/>
        <v>328718</v>
      </c>
      <c r="AN14" s="302">
        <f t="shared" ref="AN14:AP14" si="102">AN51*AN$31</f>
        <v>79106.669419849452</v>
      </c>
      <c r="AO14" s="303">
        <f t="shared" si="102"/>
        <v>128052.57420770754</v>
      </c>
      <c r="AP14" s="304">
        <f t="shared" si="102"/>
        <v>133401.04657302523</v>
      </c>
      <c r="AQ14" s="295">
        <f t="shared" si="40"/>
        <v>340560.29020058224</v>
      </c>
      <c r="AR14" s="302">
        <f t="shared" ref="AR14:AT14" si="103">AR51*AR$31</f>
        <v>78912.933722523725</v>
      </c>
      <c r="AS14" s="303">
        <f t="shared" si="103"/>
        <v>125102.36657355634</v>
      </c>
      <c r="AT14" s="304">
        <f t="shared" si="103"/>
        <v>127935.28131791719</v>
      </c>
      <c r="AU14" s="295">
        <f t="shared" si="42"/>
        <v>331950.58161399723</v>
      </c>
      <c r="AV14" s="302">
        <f t="shared" ref="AV14:AX14" si="104">AV51*AV$31</f>
        <v>83290.192720867635</v>
      </c>
      <c r="AW14" s="303">
        <f t="shared" si="104"/>
        <v>129464.08577706604</v>
      </c>
      <c r="AX14" s="304">
        <f t="shared" si="104"/>
        <v>130509.03797357831</v>
      </c>
      <c r="AY14" s="295">
        <f t="shared" si="44"/>
        <v>343263.31647151196</v>
      </c>
      <c r="AZ14" s="302">
        <f t="shared" ref="AZ14:BB14" si="105">AZ51*AZ$31</f>
        <v>86190.143175527177</v>
      </c>
      <c r="BA14" s="303">
        <f t="shared" si="105"/>
        <v>131210.67258224875</v>
      </c>
      <c r="BB14" s="304">
        <f t="shared" si="105"/>
        <v>130026.36931412092</v>
      </c>
      <c r="BC14" s="295">
        <f t="shared" si="46"/>
        <v>347427.18507189682</v>
      </c>
      <c r="BD14" s="302">
        <f t="shared" ref="BD14:BF14" si="106">BD51*BD$31</f>
        <v>89062.369974296991</v>
      </c>
      <c r="BE14" s="303">
        <f t="shared" si="106"/>
        <v>132683.89253856189</v>
      </c>
      <c r="BF14" s="304">
        <f t="shared" si="106"/>
        <v>129276.53328420896</v>
      </c>
      <c r="BG14" s="295">
        <f t="shared" si="48"/>
        <v>351022.79579706787</v>
      </c>
      <c r="BH14" s="302">
        <f t="shared" ref="BH14:BJ14" si="107">BH51*BH$31</f>
        <v>91906.873117177063</v>
      </c>
      <c r="BI14" s="303">
        <f t="shared" si="107"/>
        <v>133883.74564600564</v>
      </c>
      <c r="BJ14" s="304">
        <f t="shared" si="107"/>
        <v>128259.52988384245</v>
      </c>
      <c r="BK14" s="295">
        <f t="shared" si="50"/>
        <v>354050.14864702517</v>
      </c>
      <c r="BL14" s="302">
        <f t="shared" ref="BL14:BN14" si="108">BL51*BL$31</f>
        <v>94723.652604167364</v>
      </c>
      <c r="BM14" s="303">
        <f t="shared" si="108"/>
        <v>134810.23190457959</v>
      </c>
      <c r="BN14" s="304">
        <f t="shared" si="108"/>
        <v>126975.35911302209</v>
      </c>
      <c r="BO14" s="275">
        <f t="shared" si="52"/>
        <v>356509.24362176907</v>
      </c>
    </row>
    <row r="15" spans="1:67" x14ac:dyDescent="0.35">
      <c r="B15" t="s">
        <v>21</v>
      </c>
      <c r="D15" s="140">
        <f>SUM(D5:D14)</f>
        <v>0</v>
      </c>
      <c r="E15" s="140">
        <f t="shared" ref="E15:AP15" si="109">SUM(E5:E14)</f>
        <v>0</v>
      </c>
      <c r="F15" s="140">
        <f t="shared" si="109"/>
        <v>0</v>
      </c>
      <c r="G15" s="140">
        <f t="shared" si="109"/>
        <v>0</v>
      </c>
      <c r="H15" s="277">
        <f t="shared" si="109"/>
        <v>607388</v>
      </c>
      <c r="I15" s="277">
        <f t="shared" si="109"/>
        <v>1573707</v>
      </c>
      <c r="J15" s="277">
        <f t="shared" si="109"/>
        <v>1461462</v>
      </c>
      <c r="K15" s="276">
        <f t="shared" si="109"/>
        <v>3642557</v>
      </c>
      <c r="L15" s="277">
        <v>639330</v>
      </c>
      <c r="M15" s="277">
        <v>1537715</v>
      </c>
      <c r="N15" s="277">
        <v>1476516</v>
      </c>
      <c r="O15" s="276">
        <v>3653561</v>
      </c>
      <c r="P15" s="277">
        <v>656652</v>
      </c>
      <c r="Q15" s="277">
        <v>1547583</v>
      </c>
      <c r="R15" s="277">
        <v>1459333</v>
      </c>
      <c r="S15" s="276">
        <v>3663568</v>
      </c>
      <c r="T15" s="277">
        <v>663853</v>
      </c>
      <c r="U15" s="277">
        <v>1638417</v>
      </c>
      <c r="V15" s="277">
        <v>1523699</v>
      </c>
      <c r="W15" s="276">
        <v>3825969</v>
      </c>
      <c r="X15" s="277">
        <f t="shared" si="109"/>
        <v>684960</v>
      </c>
      <c r="Y15" s="277">
        <f t="shared" si="109"/>
        <v>1645696</v>
      </c>
      <c r="Z15" s="277">
        <f t="shared" si="109"/>
        <v>1557068</v>
      </c>
      <c r="AA15" s="276">
        <f t="shared" si="109"/>
        <v>3887724</v>
      </c>
      <c r="AB15" s="277">
        <f t="shared" si="109"/>
        <v>703558</v>
      </c>
      <c r="AC15" s="277">
        <f t="shared" si="109"/>
        <v>1729359</v>
      </c>
      <c r="AD15" s="277">
        <f t="shared" si="109"/>
        <v>1581421</v>
      </c>
      <c r="AE15" s="276">
        <f t="shared" si="109"/>
        <v>4014338</v>
      </c>
      <c r="AF15" s="277">
        <f t="shared" si="109"/>
        <v>714035</v>
      </c>
      <c r="AG15" s="277">
        <f t="shared" si="109"/>
        <v>1814436</v>
      </c>
      <c r="AH15" s="277">
        <f t="shared" si="109"/>
        <v>1589273</v>
      </c>
      <c r="AI15" s="276">
        <f t="shared" si="109"/>
        <v>4117744</v>
      </c>
      <c r="AJ15" s="277">
        <f t="shared" si="109"/>
        <v>709381</v>
      </c>
      <c r="AK15" s="277">
        <f t="shared" si="109"/>
        <v>1874805</v>
      </c>
      <c r="AL15" s="277">
        <f t="shared" si="109"/>
        <v>1632132</v>
      </c>
      <c r="AM15" s="276">
        <f t="shared" si="109"/>
        <v>4216318</v>
      </c>
      <c r="AN15" s="277">
        <f t="shared" si="109"/>
        <v>783152.33074920368</v>
      </c>
      <c r="AO15" s="279">
        <f t="shared" si="109"/>
        <v>2004128.3786154983</v>
      </c>
      <c r="AP15" s="279">
        <f t="shared" si="109"/>
        <v>1704041.0976671719</v>
      </c>
      <c r="AQ15" s="278">
        <f t="shared" si="40"/>
        <v>4491321.8070318736</v>
      </c>
      <c r="AR15" s="277">
        <f t="shared" ref="AR15:AT15" si="110">SUM(AR5:AR14)</f>
        <v>775275.31625160447</v>
      </c>
      <c r="AS15" s="279">
        <f t="shared" si="110"/>
        <v>1988102.2230568724</v>
      </c>
      <c r="AT15" s="279">
        <f t="shared" si="110"/>
        <v>1653218.7249568827</v>
      </c>
      <c r="AU15" s="278">
        <f t="shared" si="42"/>
        <v>4416596.2642653594</v>
      </c>
      <c r="AV15" s="277">
        <f t="shared" ref="AV15:AX15" si="111">SUM(AV5:AV14)</f>
        <v>811936.47589091887</v>
      </c>
      <c r="AW15" s="279">
        <f t="shared" si="111"/>
        <v>2090239.670769762</v>
      </c>
      <c r="AX15" s="279">
        <f t="shared" si="111"/>
        <v>1707148.9625923692</v>
      </c>
      <c r="AY15" s="278">
        <f t="shared" si="44"/>
        <v>4609325.1092530498</v>
      </c>
      <c r="AZ15" s="277">
        <f t="shared" ref="AZ15:BB15" si="112">SUM(AZ5:AZ14)</f>
        <v>833586.28257194161</v>
      </c>
      <c r="BA15" s="279">
        <f t="shared" si="112"/>
        <v>2153481.1108167302</v>
      </c>
      <c r="BB15" s="279">
        <f t="shared" si="112"/>
        <v>1722851.686232999</v>
      </c>
      <c r="BC15" s="278">
        <f t="shared" si="46"/>
        <v>4709919.0796216708</v>
      </c>
      <c r="BD15" s="277">
        <f t="shared" ref="BD15:BF15" si="113">SUM(BD5:BD14)</f>
        <v>854466.09483128379</v>
      </c>
      <c r="BE15" s="279">
        <f t="shared" si="113"/>
        <v>2215041.4210795327</v>
      </c>
      <c r="BF15" s="279">
        <f t="shared" si="113"/>
        <v>1736370.5377526328</v>
      </c>
      <c r="BG15" s="278">
        <f t="shared" si="48"/>
        <v>4805878.0536634494</v>
      </c>
      <c r="BH15" s="277">
        <f t="shared" ref="BH15:BJ15" si="114">SUM(BH5:BH14)</f>
        <v>874575.91266894829</v>
      </c>
      <c r="BI15" s="279">
        <f t="shared" si="114"/>
        <v>2274920.6015581801</v>
      </c>
      <c r="BJ15" s="279">
        <f t="shared" si="114"/>
        <v>1747705.5171512815</v>
      </c>
      <c r="BK15" s="278">
        <f t="shared" si="50"/>
        <v>4897202.0313784098</v>
      </c>
      <c r="BL15" s="277">
        <f t="shared" ref="BL15:BN15" si="115">SUM(BL5:BL14)</f>
        <v>893915.73608493118</v>
      </c>
      <c r="BM15" s="279">
        <f t="shared" si="115"/>
        <v>2333118.6522526573</v>
      </c>
      <c r="BN15" s="279">
        <f t="shared" si="115"/>
        <v>1756856.6244289477</v>
      </c>
      <c r="BO15" s="278">
        <f t="shared" si="52"/>
        <v>4983891.0127665363</v>
      </c>
    </row>
    <row r="16" spans="1:67" ht="15" thickBot="1" x14ac:dyDescent="0.4">
      <c r="D16" s="10"/>
      <c r="E16" s="11"/>
      <c r="F16" s="9"/>
      <c r="G16" s="11"/>
      <c r="H16" s="10"/>
      <c r="I16" s="11"/>
      <c r="J16" s="9"/>
      <c r="K16" s="11"/>
      <c r="L16" s="10"/>
      <c r="M16" s="11"/>
      <c r="N16" s="9"/>
      <c r="O16" s="11"/>
      <c r="P16" s="10"/>
      <c r="Q16" s="11"/>
      <c r="R16" s="9"/>
      <c r="S16" s="11"/>
      <c r="T16" s="10"/>
      <c r="U16" s="11"/>
      <c r="V16" s="9"/>
      <c r="W16" s="11"/>
      <c r="X16" s="10"/>
      <c r="Y16" s="11"/>
      <c r="Z16" s="9"/>
      <c r="AA16" s="11"/>
      <c r="AB16" s="10"/>
      <c r="AC16" s="11"/>
      <c r="AD16" s="9"/>
      <c r="AE16" s="11"/>
      <c r="AF16" s="10"/>
      <c r="AG16" s="11"/>
      <c r="AH16" s="9"/>
      <c r="AI16" s="11"/>
      <c r="AJ16" s="10"/>
      <c r="AK16" s="11"/>
      <c r="AL16" s="9"/>
      <c r="AM16" s="11"/>
      <c r="AN16" s="10"/>
      <c r="AO16" s="11"/>
      <c r="AP16" s="9"/>
      <c r="AQ16" s="11"/>
      <c r="AR16" s="10" t="s">
        <v>887</v>
      </c>
      <c r="AS16" s="11"/>
      <c r="AT16" s="9"/>
      <c r="AU16" s="11"/>
      <c r="AV16" s="10" t="s">
        <v>897</v>
      </c>
      <c r="AW16" s="11"/>
      <c r="AX16" s="9"/>
      <c r="AY16" s="11"/>
      <c r="AZ16" s="10" t="s">
        <v>896</v>
      </c>
      <c r="BA16" s="11"/>
      <c r="BB16" s="9"/>
      <c r="BC16" s="11"/>
      <c r="BD16" s="10" t="s">
        <v>895</v>
      </c>
      <c r="BE16" s="11"/>
      <c r="BF16" s="9"/>
      <c r="BG16" s="11"/>
      <c r="BH16" s="10" t="s">
        <v>894</v>
      </c>
      <c r="BI16" s="11"/>
      <c r="BJ16" s="9"/>
      <c r="BK16" s="11"/>
      <c r="BL16" s="10" t="s">
        <v>893</v>
      </c>
      <c r="BM16" s="11"/>
      <c r="BN16" s="9"/>
      <c r="BO16" s="11"/>
    </row>
    <row r="17" spans="1:67" x14ac:dyDescent="0.35">
      <c r="B17" t="s">
        <v>13</v>
      </c>
      <c r="D17" s="143"/>
      <c r="F17" s="144"/>
      <c r="G17" s="270" t="s">
        <v>118</v>
      </c>
      <c r="H17" s="272">
        <v>2266</v>
      </c>
      <c r="I17" s="262">
        <v>3763</v>
      </c>
      <c r="J17" s="263">
        <v>1601</v>
      </c>
      <c r="K17" s="275">
        <f>SUM(H17:J17)</f>
        <v>7630</v>
      </c>
      <c r="L17" s="272">
        <v>2481</v>
      </c>
      <c r="M17" s="262">
        <v>2758</v>
      </c>
      <c r="N17" s="263">
        <v>1853</v>
      </c>
      <c r="O17" s="275">
        <v>7092</v>
      </c>
      <c r="P17" s="272">
        <v>3227</v>
      </c>
      <c r="Q17" s="262">
        <v>2831</v>
      </c>
      <c r="R17" s="263">
        <v>1474</v>
      </c>
      <c r="S17" s="275">
        <v>7532</v>
      </c>
      <c r="T17" s="272">
        <v>2956</v>
      </c>
      <c r="U17" s="262">
        <v>3194</v>
      </c>
      <c r="V17" s="263">
        <v>1529</v>
      </c>
      <c r="W17" s="275">
        <v>7679</v>
      </c>
      <c r="X17" s="272">
        <v>3304</v>
      </c>
      <c r="Y17" s="262">
        <v>3104</v>
      </c>
      <c r="Z17" s="263">
        <v>1473</v>
      </c>
      <c r="AA17" s="275">
        <f>SUM(X17:Z17)</f>
        <v>7881</v>
      </c>
      <c r="AB17" s="272">
        <v>2370</v>
      </c>
      <c r="AC17" s="262">
        <v>2867</v>
      </c>
      <c r="AD17" s="263">
        <v>2679</v>
      </c>
      <c r="AE17" s="275">
        <f>SUM(AB17:AD17)</f>
        <v>7916</v>
      </c>
      <c r="AF17" s="272">
        <v>2920</v>
      </c>
      <c r="AG17" s="262">
        <v>2980</v>
      </c>
      <c r="AH17" s="263">
        <v>3329</v>
      </c>
      <c r="AI17" s="275">
        <f>SUM(AF17:AH17)</f>
        <v>9229</v>
      </c>
      <c r="AJ17" s="272">
        <v>2784</v>
      </c>
      <c r="AK17" s="262">
        <v>3568</v>
      </c>
      <c r="AL17" s="263">
        <v>2907</v>
      </c>
      <c r="AM17" s="295">
        <f>SUM(AJ17:AL17)</f>
        <v>9259</v>
      </c>
      <c r="AN17" s="296">
        <f>AN54*AN$31</f>
        <v>3170.1769990320436</v>
      </c>
      <c r="AO17" s="297">
        <f t="shared" ref="AO17:AP17" si="116">AO54*AO$31</f>
        <v>3238.9510625074608</v>
      </c>
      <c r="AP17" s="298">
        <f t="shared" si="116"/>
        <v>3354.8700051089218</v>
      </c>
      <c r="AQ17" s="295">
        <f>SUM(AN17:AP17)</f>
        <v>9763.9980666484262</v>
      </c>
      <c r="AR17" s="296">
        <f>AR54*AR$31</f>
        <v>3117.2570250471845</v>
      </c>
      <c r="AS17" s="297">
        <f t="shared" ref="AS17:AT17" si="117">AS54*AS$31</f>
        <v>3088.9521763718144</v>
      </c>
      <c r="AT17" s="298">
        <f t="shared" si="117"/>
        <v>3509.0622867335787</v>
      </c>
      <c r="AU17" s="295">
        <f>SUM(AR17:AT17)</f>
        <v>9715.2714881525771</v>
      </c>
      <c r="AV17" s="296">
        <f>AV54*AV$31</f>
        <v>3242.1043552705719</v>
      </c>
      <c r="AW17" s="297">
        <f t="shared" ref="AW17:AX17" si="118">AW54*AW$31</f>
        <v>3114.5846425501677</v>
      </c>
      <c r="AX17" s="298">
        <f t="shared" si="118"/>
        <v>3897.0225159949491</v>
      </c>
      <c r="AY17" s="295">
        <f>SUM(AV17:AX17)</f>
        <v>10253.71151381569</v>
      </c>
      <c r="AZ17" s="296">
        <f>AZ54*AZ$31</f>
        <v>3304.823451584125</v>
      </c>
      <c r="BA17" s="297">
        <f t="shared" ref="BA17:BB17" si="119">BA54*BA$31</f>
        <v>3068.9871344093553</v>
      </c>
      <c r="BB17" s="298">
        <f t="shared" si="119"/>
        <v>4220.6257405950964</v>
      </c>
      <c r="BC17" s="295">
        <f>SUM(AZ17:BB17)</f>
        <v>10594.436326588577</v>
      </c>
      <c r="BD17" s="296">
        <f>BD54*BD$31</f>
        <v>3362.6765200891186</v>
      </c>
      <c r="BE17" s="297">
        <f t="shared" ref="BE17:BF17" si="120">BE54*BE$31</f>
        <v>3009.9811143937527</v>
      </c>
      <c r="BF17" s="298">
        <f t="shared" si="120"/>
        <v>4556.3768914707462</v>
      </c>
      <c r="BG17" s="295">
        <f>SUM(BD17:BF17)</f>
        <v>10929.034525953619</v>
      </c>
      <c r="BH17" s="296">
        <f>BH54*BH$31</f>
        <v>3415.6635607855851</v>
      </c>
      <c r="BI17" s="297">
        <f t="shared" ref="BI17:BJ17" si="121">BI54*BI$31</f>
        <v>2937.5665825034189</v>
      </c>
      <c r="BJ17" s="298">
        <f t="shared" si="121"/>
        <v>4904.2759686218433</v>
      </c>
      <c r="BK17" s="295">
        <f>SUM(BH17:BJ17)</f>
        <v>11257.506111910847</v>
      </c>
      <c r="BL17" s="296">
        <f>BL54*BL$31</f>
        <v>3463.7845736735153</v>
      </c>
      <c r="BM17" s="297">
        <f t="shared" ref="BM17:BN17" si="122">BM54*BM$31</f>
        <v>2851.743538738403</v>
      </c>
      <c r="BN17" s="298">
        <f t="shared" si="122"/>
        <v>5264.3229720485306</v>
      </c>
      <c r="BO17" s="275">
        <f>SUM(BL17:BN17)</f>
        <v>11579.85108446045</v>
      </c>
    </row>
    <row r="18" spans="1:67" x14ac:dyDescent="0.35">
      <c r="B18" t="s">
        <v>14</v>
      </c>
      <c r="D18" s="143"/>
      <c r="F18" s="144"/>
      <c r="G18" s="270"/>
      <c r="H18" s="273">
        <v>76738</v>
      </c>
      <c r="I18" s="265">
        <v>198586</v>
      </c>
      <c r="J18" s="266">
        <v>107797</v>
      </c>
      <c r="K18" s="275">
        <f t="shared" ref="K18:K23" si="123">SUM(H18:J18)</f>
        <v>383121</v>
      </c>
      <c r="L18" s="273">
        <v>81485</v>
      </c>
      <c r="M18" s="265">
        <v>180480</v>
      </c>
      <c r="N18" s="266">
        <v>95542</v>
      </c>
      <c r="O18" s="275">
        <v>357507</v>
      </c>
      <c r="P18" s="273">
        <v>71820</v>
      </c>
      <c r="Q18" s="265">
        <v>174481</v>
      </c>
      <c r="R18" s="266">
        <v>89349</v>
      </c>
      <c r="S18" s="275">
        <v>335650</v>
      </c>
      <c r="T18" s="273">
        <v>77190</v>
      </c>
      <c r="U18" s="265">
        <v>190315</v>
      </c>
      <c r="V18" s="266">
        <v>90064</v>
      </c>
      <c r="W18" s="275">
        <v>357569</v>
      </c>
      <c r="X18" s="273">
        <v>80963</v>
      </c>
      <c r="Y18" s="265">
        <v>193030</v>
      </c>
      <c r="Z18" s="266">
        <v>92082</v>
      </c>
      <c r="AA18" s="275">
        <f t="shared" ref="AA18:AA23" si="124">SUM(X18:Z18)</f>
        <v>366075</v>
      </c>
      <c r="AB18" s="273">
        <v>89561</v>
      </c>
      <c r="AC18" s="265">
        <v>197364</v>
      </c>
      <c r="AD18" s="266">
        <v>99881</v>
      </c>
      <c r="AE18" s="275">
        <f t="shared" ref="AE18:AE23" si="125">SUM(AB18:AD18)</f>
        <v>386806</v>
      </c>
      <c r="AF18" s="273">
        <v>86663</v>
      </c>
      <c r="AG18" s="265">
        <v>210677</v>
      </c>
      <c r="AH18" s="266">
        <v>102609</v>
      </c>
      <c r="AI18" s="275">
        <f t="shared" ref="AI18:AI23" si="126">SUM(AF18:AH18)</f>
        <v>399949</v>
      </c>
      <c r="AJ18" s="273">
        <v>81876</v>
      </c>
      <c r="AK18" s="265">
        <v>227812</v>
      </c>
      <c r="AL18" s="266">
        <v>99075</v>
      </c>
      <c r="AM18" s="295">
        <f t="shared" ref="AM18:AM23" si="127">SUM(AJ18:AL18)</f>
        <v>408763</v>
      </c>
      <c r="AN18" s="299">
        <f t="shared" ref="AN18:AP23" si="128">AN55*AN$31</f>
        <v>92114.761069829197</v>
      </c>
      <c r="AO18" s="300">
        <f t="shared" si="128"/>
        <v>231874.06613184375</v>
      </c>
      <c r="AP18" s="301">
        <f t="shared" si="128"/>
        <v>99191.600362028374</v>
      </c>
      <c r="AQ18" s="295">
        <f t="shared" ref="AQ18:AQ23" si="129">SUM(AN18:AP18)</f>
        <v>423180.42756370129</v>
      </c>
      <c r="AR18" s="299">
        <f t="shared" ref="AR18:AT18" si="130">AR55*AR$31</f>
        <v>90729.840976061299</v>
      </c>
      <c r="AS18" s="300">
        <f t="shared" si="130"/>
        <v>229110.90011619046</v>
      </c>
      <c r="AT18" s="301">
        <f t="shared" si="130"/>
        <v>94127.81237446559</v>
      </c>
      <c r="AU18" s="295">
        <f t="shared" ref="AU18:AU23" si="131">SUM(AR18:AT18)</f>
        <v>413968.55346671731</v>
      </c>
      <c r="AV18" s="299">
        <f t="shared" ref="AV18:AX18" si="132">AV55*AV$31</f>
        <v>94528.560229148992</v>
      </c>
      <c r="AW18" s="300">
        <f t="shared" si="132"/>
        <v>239906.71063398596</v>
      </c>
      <c r="AX18" s="301">
        <f t="shared" si="132"/>
        <v>94933.628067849073</v>
      </c>
      <c r="AY18" s="295">
        <f t="shared" ref="AY18:AY23" si="133">SUM(AV18:AX18)</f>
        <v>429368.89893098403</v>
      </c>
      <c r="AZ18" s="299">
        <f t="shared" ref="AZ18:BB18" si="134">AZ55*AZ$31</f>
        <v>96531.937087168102</v>
      </c>
      <c r="BA18" s="300">
        <f t="shared" si="134"/>
        <v>246141.02621252902</v>
      </c>
      <c r="BB18" s="301">
        <f t="shared" si="134"/>
        <v>93423.936247520352</v>
      </c>
      <c r="BC18" s="295">
        <f t="shared" ref="BC18:BC23" si="135">SUM(AZ18:BB18)</f>
        <v>436096.89954721753</v>
      </c>
      <c r="BD18" s="299">
        <f t="shared" ref="BD18:BF18" si="136">BD55*BD$31</f>
        <v>98406.626180059437</v>
      </c>
      <c r="BE18" s="300">
        <f t="shared" si="136"/>
        <v>252102.52681521265</v>
      </c>
      <c r="BF18" s="301">
        <f t="shared" si="136"/>
        <v>91650.921000424452</v>
      </c>
      <c r="BG18" s="295">
        <f t="shared" ref="BG18:BG23" si="137">SUM(BD18:BF18)</f>
        <v>442160.0739956965</v>
      </c>
      <c r="BH18" s="299">
        <f t="shared" ref="BH18:BJ18" si="138">BH55*BH$31</f>
        <v>100152.62750782404</v>
      </c>
      <c r="BI18" s="300">
        <f t="shared" si="138"/>
        <v>257791.21244203814</v>
      </c>
      <c r="BJ18" s="301">
        <f t="shared" si="138"/>
        <v>89614.582326561402</v>
      </c>
      <c r="BK18" s="295">
        <f t="shared" ref="BK18:BK23" si="139">SUM(BH18:BJ18)</f>
        <v>447558.4222764236</v>
      </c>
      <c r="BL18" s="299">
        <f t="shared" ref="BL18:BN18" si="140">BL55*BL$31</f>
        <v>101769.94107046125</v>
      </c>
      <c r="BM18" s="300">
        <f t="shared" si="140"/>
        <v>263207.08309300453</v>
      </c>
      <c r="BN18" s="301">
        <f t="shared" si="140"/>
        <v>87314.920225931666</v>
      </c>
      <c r="BO18" s="275">
        <f t="shared" ref="BO18:BO23" si="141">SUM(BL18:BN18)</f>
        <v>452291.94438939745</v>
      </c>
    </row>
    <row r="19" spans="1:67" x14ac:dyDescent="0.35">
      <c r="B19" t="s">
        <v>15</v>
      </c>
      <c r="D19" s="143"/>
      <c r="F19" s="144"/>
      <c r="G19" s="270"/>
      <c r="H19" s="273">
        <v>140433</v>
      </c>
      <c r="I19" s="265">
        <v>608728</v>
      </c>
      <c r="J19" s="266">
        <v>306667</v>
      </c>
      <c r="K19" s="275">
        <f t="shared" si="123"/>
        <v>1055828</v>
      </c>
      <c r="L19" s="273">
        <v>148857</v>
      </c>
      <c r="M19" s="265">
        <v>581975</v>
      </c>
      <c r="N19" s="266">
        <v>308588</v>
      </c>
      <c r="O19" s="275">
        <v>1039420</v>
      </c>
      <c r="P19" s="273">
        <v>156101</v>
      </c>
      <c r="Q19" s="265">
        <v>584159</v>
      </c>
      <c r="R19" s="266">
        <v>303802</v>
      </c>
      <c r="S19" s="275">
        <v>1044062</v>
      </c>
      <c r="T19" s="273">
        <v>152603</v>
      </c>
      <c r="U19" s="265">
        <v>605037</v>
      </c>
      <c r="V19" s="266">
        <v>298653</v>
      </c>
      <c r="W19" s="275">
        <v>1056293</v>
      </c>
      <c r="X19" s="273">
        <v>158732</v>
      </c>
      <c r="Y19" s="265">
        <v>583903</v>
      </c>
      <c r="Z19" s="266">
        <v>297608</v>
      </c>
      <c r="AA19" s="275">
        <f t="shared" si="124"/>
        <v>1040243</v>
      </c>
      <c r="AB19" s="273">
        <v>155711</v>
      </c>
      <c r="AC19" s="265">
        <v>613719</v>
      </c>
      <c r="AD19" s="266">
        <v>300326</v>
      </c>
      <c r="AE19" s="275">
        <f t="shared" si="125"/>
        <v>1069756</v>
      </c>
      <c r="AF19" s="273">
        <v>161773</v>
      </c>
      <c r="AG19" s="265">
        <v>661301</v>
      </c>
      <c r="AH19" s="266">
        <v>307851</v>
      </c>
      <c r="AI19" s="275">
        <f t="shared" si="126"/>
        <v>1130925</v>
      </c>
      <c r="AJ19" s="273">
        <v>157265</v>
      </c>
      <c r="AK19" s="265">
        <v>687390</v>
      </c>
      <c r="AL19" s="266">
        <v>325806</v>
      </c>
      <c r="AM19" s="295">
        <f t="shared" si="127"/>
        <v>1170461</v>
      </c>
      <c r="AN19" s="299">
        <f t="shared" si="128"/>
        <v>173293.87064165605</v>
      </c>
      <c r="AO19" s="300">
        <f t="shared" si="128"/>
        <v>707028.40790616057</v>
      </c>
      <c r="AP19" s="301">
        <f t="shared" si="128"/>
        <v>319488.90933960938</v>
      </c>
      <c r="AQ19" s="295">
        <f t="shared" si="129"/>
        <v>1199811.187887426</v>
      </c>
      <c r="AR19" s="299">
        <f t="shared" ref="AR19:AT19" si="142">AR56*AR$31</f>
        <v>170074.58575880781</v>
      </c>
      <c r="AS19" s="300">
        <f t="shared" si="142"/>
        <v>693698.49709116691</v>
      </c>
      <c r="AT19" s="301">
        <f t="shared" si="142"/>
        <v>304906.27552307013</v>
      </c>
      <c r="AU19" s="295">
        <f t="shared" si="131"/>
        <v>1168679.358373045</v>
      </c>
      <c r="AV19" s="299">
        <f t="shared" ref="AV19:AX19" si="143">AV56*AV$31</f>
        <v>176533.59117375629</v>
      </c>
      <c r="AW19" s="300">
        <f t="shared" si="143"/>
        <v>721106.34734400059</v>
      </c>
      <c r="AX19" s="301">
        <f t="shared" si="143"/>
        <v>309416.28097699973</v>
      </c>
      <c r="AY19" s="295">
        <f t="shared" si="133"/>
        <v>1207056.2194947565</v>
      </c>
      <c r="AZ19" s="299">
        <f t="shared" ref="AZ19:BB19" si="144">AZ56*AZ$31</f>
        <v>179575.28069647565</v>
      </c>
      <c r="BA19" s="300">
        <f t="shared" si="144"/>
        <v>734274.59127842658</v>
      </c>
      <c r="BB19" s="301">
        <f t="shared" si="144"/>
        <v>306542.29296083853</v>
      </c>
      <c r="BC19" s="295">
        <f t="shared" si="135"/>
        <v>1220392.1649357406</v>
      </c>
      <c r="BD19" s="299">
        <f t="shared" ref="BD19:BF19" si="145">BD56*BD$31</f>
        <v>182323.82596378203</v>
      </c>
      <c r="BE19" s="300">
        <f t="shared" si="145"/>
        <v>746188.42882863153</v>
      </c>
      <c r="BF19" s="301">
        <f t="shared" si="145"/>
        <v>302931.90893651615</v>
      </c>
      <c r="BG19" s="295">
        <f t="shared" si="137"/>
        <v>1231444.1637289296</v>
      </c>
      <c r="BH19" s="299">
        <f t="shared" ref="BH19:BJ19" si="146">BH56*BH$31</f>
        <v>184779.22697567588</v>
      </c>
      <c r="BI19" s="300">
        <f t="shared" si="146"/>
        <v>756847.85999463114</v>
      </c>
      <c r="BJ19" s="301">
        <f t="shared" si="146"/>
        <v>298585.12890403962</v>
      </c>
      <c r="BK19" s="295">
        <f t="shared" si="139"/>
        <v>1240212.2158743467</v>
      </c>
      <c r="BL19" s="299">
        <f t="shared" ref="BL19:BN19" si="147">BL56*BL$31</f>
        <v>186941.48373215669</v>
      </c>
      <c r="BM19" s="300">
        <f t="shared" si="147"/>
        <v>766252.88477640785</v>
      </c>
      <c r="BN19" s="301">
        <f t="shared" si="147"/>
        <v>293501.95286340336</v>
      </c>
      <c r="BO19" s="275">
        <f t="shared" si="141"/>
        <v>1246696.3213719679</v>
      </c>
    </row>
    <row r="20" spans="1:67" x14ac:dyDescent="0.35">
      <c r="B20" t="s">
        <v>16</v>
      </c>
      <c r="D20" s="143"/>
      <c r="F20" s="144"/>
      <c r="G20" s="270"/>
      <c r="H20" s="273">
        <v>58085</v>
      </c>
      <c r="I20" s="265">
        <v>117874</v>
      </c>
      <c r="J20" s="266">
        <v>154568</v>
      </c>
      <c r="K20" s="275">
        <f t="shared" si="123"/>
        <v>330527</v>
      </c>
      <c r="L20" s="273">
        <v>64260</v>
      </c>
      <c r="M20" s="265">
        <v>118296</v>
      </c>
      <c r="N20" s="266">
        <v>156091</v>
      </c>
      <c r="O20" s="275">
        <v>338647</v>
      </c>
      <c r="P20" s="273">
        <v>70532</v>
      </c>
      <c r="Q20" s="265">
        <v>129498</v>
      </c>
      <c r="R20" s="266">
        <v>158906</v>
      </c>
      <c r="S20" s="275">
        <v>358936</v>
      </c>
      <c r="T20" s="273">
        <v>70866</v>
      </c>
      <c r="U20" s="265">
        <v>143188</v>
      </c>
      <c r="V20" s="266">
        <v>180046</v>
      </c>
      <c r="W20" s="275">
        <v>394100</v>
      </c>
      <c r="X20" s="273">
        <v>79103</v>
      </c>
      <c r="Y20" s="265">
        <v>160920</v>
      </c>
      <c r="Z20" s="266">
        <v>205952</v>
      </c>
      <c r="AA20" s="275">
        <f t="shared" si="124"/>
        <v>445975</v>
      </c>
      <c r="AB20" s="273">
        <v>92922</v>
      </c>
      <c r="AC20" s="265">
        <v>197278</v>
      </c>
      <c r="AD20" s="266">
        <v>220326</v>
      </c>
      <c r="AE20" s="275">
        <f t="shared" si="125"/>
        <v>510526</v>
      </c>
      <c r="AF20" s="273">
        <v>97932</v>
      </c>
      <c r="AG20" s="265">
        <v>190527</v>
      </c>
      <c r="AH20" s="266">
        <v>217348</v>
      </c>
      <c r="AI20" s="275">
        <f t="shared" si="126"/>
        <v>505807</v>
      </c>
      <c r="AJ20" s="273">
        <v>98614</v>
      </c>
      <c r="AK20" s="265">
        <v>199375</v>
      </c>
      <c r="AL20" s="266">
        <v>213220</v>
      </c>
      <c r="AM20" s="295">
        <f t="shared" si="127"/>
        <v>511209</v>
      </c>
      <c r="AN20" s="299">
        <f t="shared" si="128"/>
        <v>115430.44274033664</v>
      </c>
      <c r="AO20" s="300">
        <f t="shared" si="128"/>
        <v>237960.42979737447</v>
      </c>
      <c r="AP20" s="301">
        <f t="shared" si="128"/>
        <v>250803.18538406907</v>
      </c>
      <c r="AQ20" s="295">
        <f t="shared" si="129"/>
        <v>604194.05792178016</v>
      </c>
      <c r="AR20" s="299">
        <f t="shared" ref="AR20:AT20" si="148">AR57*AR$31</f>
        <v>119972.6792791625</v>
      </c>
      <c r="AS20" s="300">
        <f t="shared" si="148"/>
        <v>248037.64151760269</v>
      </c>
      <c r="AT20" s="301">
        <f t="shared" si="148"/>
        <v>253721.07477594618</v>
      </c>
      <c r="AU20" s="295">
        <f t="shared" si="131"/>
        <v>621731.39557271136</v>
      </c>
      <c r="AV20" s="299">
        <f t="shared" ref="AV20:AX20" si="149">AV57*AV$31</f>
        <v>131763.2807648434</v>
      </c>
      <c r="AW20" s="300">
        <f t="shared" si="149"/>
        <v>273625.66022037243</v>
      </c>
      <c r="AX20" s="301">
        <f t="shared" si="149"/>
        <v>273182.64658437751</v>
      </c>
      <c r="AY20" s="295">
        <f t="shared" si="133"/>
        <v>678571.58756959334</v>
      </c>
      <c r="AZ20" s="299">
        <f t="shared" ref="AZ20:BB20" si="150">AZ57*AZ$31</f>
        <v>141710.82318494053</v>
      </c>
      <c r="BA20" s="300">
        <f t="shared" si="150"/>
        <v>295403.23571998777</v>
      </c>
      <c r="BB20" s="301">
        <f t="shared" si="150"/>
        <v>287463.78870688542</v>
      </c>
      <c r="BC20" s="295">
        <f t="shared" si="135"/>
        <v>724577.84761181369</v>
      </c>
      <c r="BD20" s="299">
        <f t="shared" ref="BD20:BF20" si="151">BD57*BD$31</f>
        <v>152019.13517219471</v>
      </c>
      <c r="BE20" s="300">
        <f t="shared" si="151"/>
        <v>318013.33377148147</v>
      </c>
      <c r="BF20" s="301">
        <f t="shared" si="151"/>
        <v>302096.15368104348</v>
      </c>
      <c r="BG20" s="295">
        <f t="shared" si="137"/>
        <v>772128.62262471975</v>
      </c>
      <c r="BH20" s="299">
        <f t="shared" ref="BH20:BJ20" si="152">BH57*BH$31</f>
        <v>162688.21672660636</v>
      </c>
      <c r="BI20" s="300">
        <f t="shared" si="152"/>
        <v>341455.9543748541</v>
      </c>
      <c r="BJ20" s="301">
        <f t="shared" si="152"/>
        <v>317079.74150685349</v>
      </c>
      <c r="BK20" s="295">
        <f t="shared" si="139"/>
        <v>821223.91260831396</v>
      </c>
      <c r="BL20" s="299">
        <f t="shared" ref="BL20:BN20" si="153">BL57*BL$31</f>
        <v>173718.06784817504</v>
      </c>
      <c r="BM20" s="300">
        <f t="shared" si="153"/>
        <v>365731.09753010859</v>
      </c>
      <c r="BN20" s="301">
        <f t="shared" si="153"/>
        <v>332414.55218431726</v>
      </c>
      <c r="BO20" s="275">
        <f t="shared" si="141"/>
        <v>871863.71756260085</v>
      </c>
    </row>
    <row r="21" spans="1:67" x14ac:dyDescent="0.35">
      <c r="B21" t="s">
        <v>17</v>
      </c>
      <c r="D21" s="143"/>
      <c r="F21" s="144"/>
      <c r="G21" s="270"/>
      <c r="H21" s="273">
        <v>143226</v>
      </c>
      <c r="I21" s="265">
        <v>387406</v>
      </c>
      <c r="J21" s="266">
        <v>381006</v>
      </c>
      <c r="K21" s="275">
        <f t="shared" si="123"/>
        <v>911638</v>
      </c>
      <c r="L21" s="273">
        <v>154438</v>
      </c>
      <c r="M21" s="265">
        <v>373688</v>
      </c>
      <c r="N21" s="266">
        <v>394096</v>
      </c>
      <c r="O21" s="275">
        <v>922222</v>
      </c>
      <c r="P21" s="273">
        <v>156439</v>
      </c>
      <c r="Q21" s="265">
        <v>368461</v>
      </c>
      <c r="R21" s="266">
        <v>380215</v>
      </c>
      <c r="S21" s="275">
        <v>905115</v>
      </c>
      <c r="T21" s="273">
        <v>153015</v>
      </c>
      <c r="U21" s="265">
        <v>391220</v>
      </c>
      <c r="V21" s="266">
        <v>393678</v>
      </c>
      <c r="W21" s="275">
        <v>937913</v>
      </c>
      <c r="X21" s="273">
        <v>142322</v>
      </c>
      <c r="Y21" s="265">
        <v>393523</v>
      </c>
      <c r="Z21" s="266">
        <v>377744</v>
      </c>
      <c r="AA21" s="275">
        <f t="shared" si="124"/>
        <v>913589</v>
      </c>
      <c r="AB21" s="273">
        <v>142392</v>
      </c>
      <c r="AC21" s="265">
        <v>392776</v>
      </c>
      <c r="AD21" s="266">
        <v>386414</v>
      </c>
      <c r="AE21" s="275">
        <f t="shared" si="125"/>
        <v>921582</v>
      </c>
      <c r="AF21" s="273">
        <v>152985</v>
      </c>
      <c r="AG21" s="265">
        <v>401193</v>
      </c>
      <c r="AH21" s="266">
        <v>391576</v>
      </c>
      <c r="AI21" s="275">
        <f t="shared" si="126"/>
        <v>945754</v>
      </c>
      <c r="AJ21" s="273">
        <v>148402</v>
      </c>
      <c r="AK21" s="265">
        <v>401848</v>
      </c>
      <c r="AL21" s="266">
        <v>382817</v>
      </c>
      <c r="AM21" s="295">
        <f t="shared" si="127"/>
        <v>933067</v>
      </c>
      <c r="AN21" s="299">
        <f t="shared" si="128"/>
        <v>154767.14183979467</v>
      </c>
      <c r="AO21" s="300">
        <f t="shared" si="128"/>
        <v>428019.22479771986</v>
      </c>
      <c r="AP21" s="301">
        <f t="shared" si="128"/>
        <v>395360.9042015461</v>
      </c>
      <c r="AQ21" s="295">
        <f t="shared" si="129"/>
        <v>978147.27083906066</v>
      </c>
      <c r="AR21" s="299">
        <f t="shared" ref="AR21:AT21" si="154">AR58*AR$31</f>
        <v>148581.60886403886</v>
      </c>
      <c r="AS21" s="300">
        <f t="shared" si="154"/>
        <v>415233.23099402816</v>
      </c>
      <c r="AT21" s="301">
        <f t="shared" si="154"/>
        <v>375311.25422274653</v>
      </c>
      <c r="AU21" s="295">
        <f t="shared" si="131"/>
        <v>939126.09408081346</v>
      </c>
      <c r="AV21" s="299">
        <f t="shared" ref="AV21:AX21" si="155">AV58*AV$31</f>
        <v>150642.76369535454</v>
      </c>
      <c r="AW21" s="300">
        <f t="shared" si="155"/>
        <v>426526.06610180641</v>
      </c>
      <c r="AX21" s="301">
        <f t="shared" si="155"/>
        <v>378671.33393758029</v>
      </c>
      <c r="AY21" s="295">
        <f t="shared" si="133"/>
        <v>955840.16373474128</v>
      </c>
      <c r="AZ21" s="299">
        <f t="shared" ref="AZ21:BB21" si="156">AZ58*AZ$31</f>
        <v>149437.47388960599</v>
      </c>
      <c r="BA21" s="300">
        <f t="shared" si="156"/>
        <v>428880.51232103113</v>
      </c>
      <c r="BB21" s="301">
        <f t="shared" si="156"/>
        <v>372807.92952648859</v>
      </c>
      <c r="BC21" s="295">
        <f t="shared" si="135"/>
        <v>951125.91573712579</v>
      </c>
      <c r="BD21" s="299">
        <f t="shared" ref="BD21:BF21" si="157">BD58*BD$31</f>
        <v>147695.09754632306</v>
      </c>
      <c r="BE21" s="300">
        <f t="shared" si="157"/>
        <v>430069.2353651041</v>
      </c>
      <c r="BF21" s="301">
        <f t="shared" si="157"/>
        <v>365903.61491887009</v>
      </c>
      <c r="BG21" s="295">
        <f t="shared" si="137"/>
        <v>943667.94783029729</v>
      </c>
      <c r="BH21" s="299">
        <f t="shared" ref="BH21:BJ21" si="158">BH58*BH$31</f>
        <v>145415.63466550768</v>
      </c>
      <c r="BI21" s="300">
        <f t="shared" si="158"/>
        <v>430092.2352340261</v>
      </c>
      <c r="BJ21" s="301">
        <f t="shared" si="158"/>
        <v>357958.39011473907</v>
      </c>
      <c r="BK21" s="295">
        <f t="shared" si="139"/>
        <v>933466.26001427288</v>
      </c>
      <c r="BL21" s="299">
        <f t="shared" ref="BL21:BN21" si="159">BL58*BL$31</f>
        <v>142599.08524716127</v>
      </c>
      <c r="BM21" s="300">
        <f t="shared" si="159"/>
        <v>428949.51192779554</v>
      </c>
      <c r="BN21" s="301">
        <f t="shared" si="159"/>
        <v>348972.25511408277</v>
      </c>
      <c r="BO21" s="275">
        <f t="shared" si="141"/>
        <v>920520.85228903964</v>
      </c>
    </row>
    <row r="22" spans="1:67" x14ac:dyDescent="0.35">
      <c r="B22" t="s">
        <v>18</v>
      </c>
      <c r="D22" s="143"/>
      <c r="F22" s="144"/>
      <c r="G22" s="270"/>
      <c r="H22" s="273">
        <v>98060</v>
      </c>
      <c r="I22" s="265">
        <v>156438</v>
      </c>
      <c r="J22" s="266">
        <v>313223</v>
      </c>
      <c r="K22" s="275">
        <f t="shared" si="123"/>
        <v>567721</v>
      </c>
      <c r="L22" s="273">
        <v>105107</v>
      </c>
      <c r="M22" s="265">
        <v>164300</v>
      </c>
      <c r="N22" s="266">
        <v>326886</v>
      </c>
      <c r="O22" s="275">
        <v>596293</v>
      </c>
      <c r="P22" s="273">
        <v>107876</v>
      </c>
      <c r="Q22" s="265">
        <v>170645</v>
      </c>
      <c r="R22" s="266">
        <v>325123</v>
      </c>
      <c r="S22" s="275">
        <v>603644</v>
      </c>
      <c r="T22" s="273">
        <v>112711</v>
      </c>
      <c r="U22" s="265">
        <v>175067</v>
      </c>
      <c r="V22" s="266">
        <v>344565</v>
      </c>
      <c r="W22" s="275">
        <v>632343</v>
      </c>
      <c r="X22" s="273">
        <v>120001</v>
      </c>
      <c r="Y22" s="265">
        <v>171703</v>
      </c>
      <c r="Z22" s="266">
        <v>357753</v>
      </c>
      <c r="AA22" s="275">
        <f t="shared" si="124"/>
        <v>649457</v>
      </c>
      <c r="AB22" s="273">
        <v>126265</v>
      </c>
      <c r="AC22" s="265">
        <v>187206</v>
      </c>
      <c r="AD22" s="266">
        <v>354253</v>
      </c>
      <c r="AE22" s="275">
        <f t="shared" si="125"/>
        <v>667724</v>
      </c>
      <c r="AF22" s="273">
        <v>123992</v>
      </c>
      <c r="AG22" s="265">
        <v>196400</v>
      </c>
      <c r="AH22" s="266">
        <v>341016</v>
      </c>
      <c r="AI22" s="275">
        <f t="shared" si="126"/>
        <v>661408</v>
      </c>
      <c r="AJ22" s="273">
        <v>112327</v>
      </c>
      <c r="AK22" s="265">
        <v>187039</v>
      </c>
      <c r="AL22" s="266">
        <v>346429</v>
      </c>
      <c r="AM22" s="295">
        <f t="shared" si="127"/>
        <v>645795</v>
      </c>
      <c r="AN22" s="299">
        <f t="shared" si="128"/>
        <v>135455.86946245711</v>
      </c>
      <c r="AO22" s="300">
        <f t="shared" si="128"/>
        <v>211813.20716181272</v>
      </c>
      <c r="AP22" s="301">
        <f t="shared" si="128"/>
        <v>372872.93863380811</v>
      </c>
      <c r="AQ22" s="295">
        <f t="shared" si="129"/>
        <v>720142.015258078</v>
      </c>
      <c r="AR22" s="299">
        <f t="shared" ref="AR22:AT22" si="160">AR59*AR$31</f>
        <v>134929.90859188893</v>
      </c>
      <c r="AS22" s="300">
        <f t="shared" si="160"/>
        <v>210183.16515327847</v>
      </c>
      <c r="AT22" s="301">
        <f t="shared" si="160"/>
        <v>360952.90117212397</v>
      </c>
      <c r="AU22" s="295">
        <f t="shared" si="131"/>
        <v>706065.97491729143</v>
      </c>
      <c r="AV22" s="299">
        <f t="shared" ref="AV22:AX22" si="161">AV59*AV$31</f>
        <v>142207.66328545759</v>
      </c>
      <c r="AW22" s="300">
        <f t="shared" si="161"/>
        <v>221049.52775784695</v>
      </c>
      <c r="AX22" s="301">
        <f t="shared" si="161"/>
        <v>371867.9482579648</v>
      </c>
      <c r="AY22" s="295">
        <f t="shared" si="133"/>
        <v>735125.13930126932</v>
      </c>
      <c r="AZ22" s="299">
        <f t="shared" ref="AZ22:BB22" si="162">AZ59*AZ$31</f>
        <v>146943.21105609665</v>
      </c>
      <c r="BA22" s="300">
        <f t="shared" si="162"/>
        <v>227809.33003309084</v>
      </c>
      <c r="BB22" s="301">
        <f t="shared" si="162"/>
        <v>374383.89232882176</v>
      </c>
      <c r="BC22" s="295">
        <f t="shared" si="135"/>
        <v>749136.4334180092</v>
      </c>
      <c r="BD22" s="299">
        <f t="shared" ref="BD22:BF22" si="163">BD59*BD$31</f>
        <v>151615.13617611377</v>
      </c>
      <c r="BE22" s="300">
        <f t="shared" si="163"/>
        <v>234396.94755249267</v>
      </c>
      <c r="BF22" s="301">
        <f t="shared" si="163"/>
        <v>376370.26504846639</v>
      </c>
      <c r="BG22" s="295">
        <f t="shared" si="137"/>
        <v>762382.34877707285</v>
      </c>
      <c r="BH22" s="299">
        <f t="shared" ref="BH22:BJ22" si="164">BH59*BH$31</f>
        <v>156223.43864550887</v>
      </c>
      <c r="BI22" s="300">
        <f t="shared" si="164"/>
        <v>240812.38031605291</v>
      </c>
      <c r="BJ22" s="301">
        <f t="shared" si="164"/>
        <v>377827.06641689187</v>
      </c>
      <c r="BK22" s="295">
        <f t="shared" si="139"/>
        <v>774862.88537845365</v>
      </c>
      <c r="BL22" s="299">
        <f t="shared" ref="BL22:BN22" si="165">BL59*BL$31</f>
        <v>160768.11846428172</v>
      </c>
      <c r="BM22" s="300">
        <f t="shared" si="165"/>
        <v>247055.62832377065</v>
      </c>
      <c r="BN22" s="301">
        <f t="shared" si="165"/>
        <v>378754.29643410363</v>
      </c>
      <c r="BO22" s="275">
        <f t="shared" si="141"/>
        <v>786578.043222156</v>
      </c>
    </row>
    <row r="23" spans="1:67" ht="15" thickBot="1" x14ac:dyDescent="0.4">
      <c r="B23" t="s">
        <v>19</v>
      </c>
      <c r="D23" s="146"/>
      <c r="F23" s="147"/>
      <c r="G23" s="271"/>
      <c r="H23" s="274">
        <v>88580</v>
      </c>
      <c r="I23" s="268">
        <v>100912</v>
      </c>
      <c r="J23" s="269">
        <v>196600</v>
      </c>
      <c r="K23" s="275">
        <f t="shared" si="123"/>
        <v>386092</v>
      </c>
      <c r="L23" s="274">
        <v>82702</v>
      </c>
      <c r="M23" s="268">
        <v>116218</v>
      </c>
      <c r="N23" s="269">
        <v>193460</v>
      </c>
      <c r="O23" s="275">
        <v>392380</v>
      </c>
      <c r="P23" s="274">
        <v>90657</v>
      </c>
      <c r="Q23" s="268">
        <v>117508</v>
      </c>
      <c r="R23" s="269">
        <v>200464</v>
      </c>
      <c r="S23" s="275">
        <v>408629</v>
      </c>
      <c r="T23" s="274">
        <v>94512</v>
      </c>
      <c r="U23" s="268">
        <v>130396</v>
      </c>
      <c r="V23" s="269">
        <v>215164</v>
      </c>
      <c r="W23" s="275">
        <v>440072</v>
      </c>
      <c r="X23" s="274">
        <v>100535</v>
      </c>
      <c r="Y23" s="268">
        <v>139513</v>
      </c>
      <c r="Z23" s="269">
        <v>224456</v>
      </c>
      <c r="AA23" s="275">
        <f t="shared" si="124"/>
        <v>464504</v>
      </c>
      <c r="AB23" s="274">
        <v>94337</v>
      </c>
      <c r="AC23" s="268">
        <v>138149</v>
      </c>
      <c r="AD23" s="269">
        <v>217542</v>
      </c>
      <c r="AE23" s="275">
        <f t="shared" si="125"/>
        <v>450028</v>
      </c>
      <c r="AF23" s="274">
        <v>87770</v>
      </c>
      <c r="AG23" s="268">
        <v>151358</v>
      </c>
      <c r="AH23" s="269">
        <v>225544</v>
      </c>
      <c r="AI23" s="275">
        <f t="shared" si="126"/>
        <v>464672</v>
      </c>
      <c r="AJ23" s="274">
        <v>108113</v>
      </c>
      <c r="AK23" s="268">
        <v>167773</v>
      </c>
      <c r="AL23" s="269">
        <v>261878</v>
      </c>
      <c r="AM23" s="295">
        <f t="shared" si="127"/>
        <v>537764</v>
      </c>
      <c r="AN23" s="302">
        <f t="shared" si="128"/>
        <v>108920.06799609939</v>
      </c>
      <c r="AO23" s="303">
        <f t="shared" si="128"/>
        <v>184194.0917580846</v>
      </c>
      <c r="AP23" s="304">
        <f t="shared" si="128"/>
        <v>262968.68974100694</v>
      </c>
      <c r="AQ23" s="295">
        <f t="shared" si="129"/>
        <v>556082.84949519089</v>
      </c>
      <c r="AR23" s="302">
        <f t="shared" ref="AR23:AT23" si="166">AR60*AR$31</f>
        <v>107869.43575659933</v>
      </c>
      <c r="AS23" s="303">
        <f t="shared" si="166"/>
        <v>188749.83600823343</v>
      </c>
      <c r="AT23" s="304">
        <f t="shared" si="166"/>
        <v>260690.34460179662</v>
      </c>
      <c r="AU23" s="295">
        <f t="shared" si="131"/>
        <v>557309.61636662937</v>
      </c>
      <c r="AV23" s="302">
        <f t="shared" ref="AV23:AX23" si="167">AV60*AV$31</f>
        <v>113018.51238708846</v>
      </c>
      <c r="AW23" s="303">
        <f t="shared" si="167"/>
        <v>204910.7740692019</v>
      </c>
      <c r="AX23" s="304">
        <f t="shared" si="167"/>
        <v>275180.10225160478</v>
      </c>
      <c r="AY23" s="295">
        <f t="shared" si="133"/>
        <v>593109.38870789506</v>
      </c>
      <c r="AZ23" s="302">
        <f t="shared" ref="AZ23:BB23" si="168">AZ60*AZ$31</f>
        <v>116082.73320607217</v>
      </c>
      <c r="BA23" s="303">
        <f t="shared" si="168"/>
        <v>217903.4281172613</v>
      </c>
      <c r="BB23" s="304">
        <f t="shared" si="168"/>
        <v>284009.22072185413</v>
      </c>
      <c r="BC23" s="295">
        <f t="shared" si="135"/>
        <v>617995.38204518752</v>
      </c>
      <c r="BD23" s="302">
        <f t="shared" ref="BD23:BF23" si="169">BD60*BD$31</f>
        <v>119043.59727272282</v>
      </c>
      <c r="BE23" s="303">
        <f t="shared" si="169"/>
        <v>231260.96763221914</v>
      </c>
      <c r="BF23" s="304">
        <f t="shared" si="169"/>
        <v>292861.29727584589</v>
      </c>
      <c r="BG23" s="295">
        <f t="shared" si="137"/>
        <v>643165.86218078784</v>
      </c>
      <c r="BH23" s="302">
        <f t="shared" ref="BH23:BJ23" si="170">BH60*BH$31</f>
        <v>121901.10458703987</v>
      </c>
      <c r="BI23" s="303">
        <f t="shared" si="170"/>
        <v>244983.39261407763</v>
      </c>
      <c r="BJ23" s="304">
        <f t="shared" si="170"/>
        <v>301736.33191358001</v>
      </c>
      <c r="BK23" s="295">
        <f t="shared" si="139"/>
        <v>668620.82911469752</v>
      </c>
      <c r="BL23" s="302">
        <f t="shared" ref="BL23:BN23" si="171">BL60*BL$31</f>
        <v>124655.25514902337</v>
      </c>
      <c r="BM23" s="303">
        <f t="shared" si="171"/>
        <v>259070.70306283585</v>
      </c>
      <c r="BN23" s="304">
        <f t="shared" si="171"/>
        <v>310634.32463505823</v>
      </c>
      <c r="BO23" s="275">
        <f t="shared" si="141"/>
        <v>694360.2828469174</v>
      </c>
    </row>
    <row r="24" spans="1:67" x14ac:dyDescent="0.35">
      <c r="B24" t="str">
        <f>B15</f>
        <v>Összesen</v>
      </c>
      <c r="D24" s="140">
        <f>SUM(D17:D23)</f>
        <v>0</v>
      </c>
      <c r="E24" s="141">
        <f t="shared" ref="E24:G24" si="172">SUM(E17:E23)</f>
        <v>0</v>
      </c>
      <c r="F24" s="141">
        <f t="shared" si="172"/>
        <v>0</v>
      </c>
      <c r="G24" s="149">
        <f t="shared" si="172"/>
        <v>0</v>
      </c>
      <c r="H24" s="277">
        <f>SUM(H17:H23)</f>
        <v>607388</v>
      </c>
      <c r="I24" s="279">
        <f t="shared" ref="I24:K24" si="173">SUM(I17:I23)</f>
        <v>1573707</v>
      </c>
      <c r="J24" s="279">
        <f t="shared" si="173"/>
        <v>1461462</v>
      </c>
      <c r="K24" s="278">
        <f t="shared" si="173"/>
        <v>3642557</v>
      </c>
      <c r="L24" s="277">
        <v>639330</v>
      </c>
      <c r="M24" s="279">
        <v>1537715</v>
      </c>
      <c r="N24" s="279">
        <v>1476516</v>
      </c>
      <c r="O24" s="278">
        <v>3653561</v>
      </c>
      <c r="P24" s="277">
        <v>656652</v>
      </c>
      <c r="Q24" s="279">
        <v>1547583</v>
      </c>
      <c r="R24" s="279">
        <v>1459333</v>
      </c>
      <c r="S24" s="278">
        <v>3663568</v>
      </c>
      <c r="T24" s="277">
        <v>663853</v>
      </c>
      <c r="U24" s="279">
        <v>1638417</v>
      </c>
      <c r="V24" s="279">
        <v>1523699</v>
      </c>
      <c r="W24" s="278">
        <v>3825969</v>
      </c>
      <c r="X24" s="277">
        <f>SUM(X17:X23)</f>
        <v>684960</v>
      </c>
      <c r="Y24" s="279">
        <f t="shared" ref="Y24" si="174">SUM(Y17:Y23)</f>
        <v>1645696</v>
      </c>
      <c r="Z24" s="279">
        <f t="shared" ref="Z24" si="175">SUM(Z17:Z23)</f>
        <v>1557068</v>
      </c>
      <c r="AA24" s="278">
        <f t="shared" ref="AA24" si="176">SUM(AA17:AA23)</f>
        <v>3887724</v>
      </c>
      <c r="AB24" s="277">
        <f>SUM(AB17:AB23)</f>
        <v>703558</v>
      </c>
      <c r="AC24" s="279">
        <f t="shared" ref="AC24" si="177">SUM(AC17:AC23)</f>
        <v>1729359</v>
      </c>
      <c r="AD24" s="279">
        <f t="shared" ref="AD24" si="178">SUM(AD17:AD23)</f>
        <v>1581421</v>
      </c>
      <c r="AE24" s="278">
        <f t="shared" ref="AE24" si="179">SUM(AE17:AE23)</f>
        <v>4014338</v>
      </c>
      <c r="AF24" s="277">
        <f>SUM(AF17:AF23)</f>
        <v>714035</v>
      </c>
      <c r="AG24" s="279">
        <f t="shared" ref="AG24" si="180">SUM(AG17:AG23)</f>
        <v>1814436</v>
      </c>
      <c r="AH24" s="279">
        <f t="shared" ref="AH24" si="181">SUM(AH17:AH23)</f>
        <v>1589273</v>
      </c>
      <c r="AI24" s="278">
        <f t="shared" ref="AI24" si="182">SUM(AI17:AI23)</f>
        <v>4117744</v>
      </c>
      <c r="AJ24" s="277">
        <f>SUM(AJ17:AJ23)</f>
        <v>709381</v>
      </c>
      <c r="AK24" s="279">
        <f t="shared" ref="AK24" si="183">SUM(AK17:AK23)</f>
        <v>1874805</v>
      </c>
      <c r="AL24" s="279">
        <f t="shared" ref="AL24" si="184">SUM(AL17:AL23)</f>
        <v>1632132</v>
      </c>
      <c r="AM24" s="278">
        <f t="shared" ref="AM24" si="185">SUM(AM17:AM23)</f>
        <v>4216318</v>
      </c>
      <c r="AN24" s="277">
        <f>SUM(AN17:AN23)</f>
        <v>783152.33074920508</v>
      </c>
      <c r="AO24" s="279">
        <f t="shared" ref="AO24" si="186">SUM(AO17:AO23)</f>
        <v>2004128.3786155037</v>
      </c>
      <c r="AP24" s="279">
        <f t="shared" ref="AP24" si="187">SUM(AP17:AP23)</f>
        <v>1704041.0976671767</v>
      </c>
      <c r="AQ24" s="278">
        <f t="shared" ref="AQ24" si="188">SUM(AQ17:AQ23)</f>
        <v>4491321.8070318857</v>
      </c>
      <c r="AR24" s="277">
        <f>SUM(AR17:AR23)</f>
        <v>775275.31625160587</v>
      </c>
      <c r="AS24" s="279">
        <f t="shared" ref="AS24:AU24" si="189">SUM(AS17:AS23)</f>
        <v>1988102.2230568719</v>
      </c>
      <c r="AT24" s="279">
        <f t="shared" si="189"/>
        <v>1653218.7249568829</v>
      </c>
      <c r="AU24" s="278">
        <f t="shared" si="189"/>
        <v>4416596.2642653612</v>
      </c>
      <c r="AV24" s="277">
        <f>SUM(AV17:AV23)</f>
        <v>811936.4758909198</v>
      </c>
      <c r="AW24" s="279">
        <f t="shared" ref="AW24:AY24" si="190">SUM(AW17:AW23)</f>
        <v>2090239.6707697646</v>
      </c>
      <c r="AX24" s="279">
        <f t="shared" si="190"/>
        <v>1707148.9625923713</v>
      </c>
      <c r="AY24" s="278">
        <f t="shared" si="190"/>
        <v>4609325.1092530554</v>
      </c>
      <c r="AZ24" s="277">
        <f>SUM(AZ17:AZ23)</f>
        <v>833586.28257194301</v>
      </c>
      <c r="BA24" s="279">
        <f t="shared" ref="BA24:BC24" si="191">SUM(BA17:BA23)</f>
        <v>2153481.1108167362</v>
      </c>
      <c r="BB24" s="279">
        <f t="shared" si="191"/>
        <v>1722851.6862330039</v>
      </c>
      <c r="BC24" s="278">
        <f t="shared" si="191"/>
        <v>4709919.0796216838</v>
      </c>
      <c r="BD24" s="277">
        <f>SUM(BD17:BD23)</f>
        <v>854466.09483128495</v>
      </c>
      <c r="BE24" s="279">
        <f t="shared" ref="BE24:BG24" si="192">SUM(BE17:BE23)</f>
        <v>2215041.421079535</v>
      </c>
      <c r="BF24" s="279">
        <f t="shared" si="192"/>
        <v>1736370.5377526372</v>
      </c>
      <c r="BG24" s="278">
        <f t="shared" si="192"/>
        <v>4805878.0536634568</v>
      </c>
      <c r="BH24" s="277">
        <f>SUM(BH17:BH23)</f>
        <v>874575.91266894829</v>
      </c>
      <c r="BI24" s="279">
        <f t="shared" ref="BI24:BK24" si="193">SUM(BI17:BI23)</f>
        <v>2274920.6015581833</v>
      </c>
      <c r="BJ24" s="279">
        <f t="shared" si="193"/>
        <v>1747705.5171512871</v>
      </c>
      <c r="BK24" s="278">
        <f t="shared" si="193"/>
        <v>4897202.0313784191</v>
      </c>
      <c r="BL24" s="277">
        <f>SUM(BL17:BL23)</f>
        <v>893915.73608493293</v>
      </c>
      <c r="BM24" s="279">
        <f t="shared" ref="BM24:BO24" si="194">SUM(BM17:BM23)</f>
        <v>2333118.6522526615</v>
      </c>
      <c r="BN24" s="279">
        <f t="shared" si="194"/>
        <v>1756856.6244289456</v>
      </c>
      <c r="BO24" s="278">
        <f t="shared" si="194"/>
        <v>4983891.0127665401</v>
      </c>
    </row>
    <row r="26" spans="1:67" x14ac:dyDescent="0.35">
      <c r="B26" t="s">
        <v>20</v>
      </c>
      <c r="D26" s="3">
        <f t="shared" ref="D26:BO26" si="195">SUM(D5:D14)-SUM(D17:D23)</f>
        <v>0</v>
      </c>
      <c r="E26" s="3">
        <f t="shared" si="195"/>
        <v>0</v>
      </c>
      <c r="F26" s="3">
        <f t="shared" si="195"/>
        <v>0</v>
      </c>
      <c r="G26" s="3">
        <f t="shared" si="195"/>
        <v>0</v>
      </c>
      <c r="H26" s="3">
        <f t="shared" si="195"/>
        <v>0</v>
      </c>
      <c r="I26" s="3">
        <f t="shared" si="195"/>
        <v>0</v>
      </c>
      <c r="J26" s="3">
        <f t="shared" si="195"/>
        <v>0</v>
      </c>
      <c r="K26" s="3">
        <f t="shared" si="195"/>
        <v>0</v>
      </c>
      <c r="L26" s="3">
        <f>SUM(L5:L14)-SUM(L17:L23)</f>
        <v>0</v>
      </c>
      <c r="M26" s="3">
        <f t="shared" si="195"/>
        <v>0</v>
      </c>
      <c r="N26" s="3">
        <f t="shared" si="195"/>
        <v>0</v>
      </c>
      <c r="O26" s="3">
        <f t="shared" si="195"/>
        <v>0</v>
      </c>
      <c r="P26" s="3">
        <f t="shared" si="195"/>
        <v>0</v>
      </c>
      <c r="Q26" s="3">
        <f t="shared" si="195"/>
        <v>0</v>
      </c>
      <c r="R26" s="3">
        <f t="shared" si="195"/>
        <v>0</v>
      </c>
      <c r="S26" s="3">
        <f t="shared" si="195"/>
        <v>0</v>
      </c>
      <c r="T26" s="3">
        <f t="shared" si="195"/>
        <v>0</v>
      </c>
      <c r="U26" s="3">
        <f t="shared" si="195"/>
        <v>0</v>
      </c>
      <c r="V26" s="3">
        <f t="shared" si="195"/>
        <v>0</v>
      </c>
      <c r="W26" s="3">
        <f t="shared" si="195"/>
        <v>0</v>
      </c>
      <c r="X26" s="3">
        <f t="shared" si="195"/>
        <v>0</v>
      </c>
      <c r="Y26" s="3">
        <f t="shared" si="195"/>
        <v>0</v>
      </c>
      <c r="Z26" s="3">
        <f t="shared" si="195"/>
        <v>0</v>
      </c>
      <c r="AA26" s="3">
        <f t="shared" si="195"/>
        <v>0</v>
      </c>
      <c r="AB26" s="3">
        <f t="shared" si="195"/>
        <v>0</v>
      </c>
      <c r="AC26" s="3">
        <f t="shared" si="195"/>
        <v>0</v>
      </c>
      <c r="AD26" s="3">
        <f t="shared" si="195"/>
        <v>0</v>
      </c>
      <c r="AE26" s="3">
        <f t="shared" si="195"/>
        <v>0</v>
      </c>
      <c r="AF26" s="3">
        <f t="shared" si="195"/>
        <v>0</v>
      </c>
      <c r="AG26" s="3">
        <f t="shared" si="195"/>
        <v>0</v>
      </c>
      <c r="AH26" s="3">
        <f t="shared" si="195"/>
        <v>0</v>
      </c>
      <c r="AI26" s="3">
        <f t="shared" si="195"/>
        <v>0</v>
      </c>
      <c r="AJ26" s="3">
        <f t="shared" si="195"/>
        <v>0</v>
      </c>
      <c r="AK26" s="3">
        <f t="shared" si="195"/>
        <v>0</v>
      </c>
      <c r="AL26" s="3">
        <f t="shared" si="195"/>
        <v>0</v>
      </c>
      <c r="AM26" s="3">
        <f t="shared" si="195"/>
        <v>0</v>
      </c>
      <c r="AN26" s="3">
        <f t="shared" si="195"/>
        <v>-1.3969838619232178E-9</v>
      </c>
      <c r="AO26" s="3">
        <f t="shared" si="195"/>
        <v>-5.3551048040390015E-9</v>
      </c>
      <c r="AP26" s="3">
        <f t="shared" si="195"/>
        <v>-4.8894435167312622E-9</v>
      </c>
      <c r="AQ26" s="3">
        <f t="shared" si="195"/>
        <v>-1.2107193470001221E-8</v>
      </c>
      <c r="AR26" s="3">
        <f t="shared" si="195"/>
        <v>-1.3969838619232178E-9</v>
      </c>
      <c r="AS26" s="3">
        <f t="shared" si="195"/>
        <v>0</v>
      </c>
      <c r="AT26" s="3">
        <f t="shared" si="195"/>
        <v>0</v>
      </c>
      <c r="AU26" s="3">
        <f t="shared" si="195"/>
        <v>0</v>
      </c>
      <c r="AV26" s="3">
        <f t="shared" si="195"/>
        <v>-9.3132257461547852E-10</v>
      </c>
      <c r="AW26" s="3">
        <f t="shared" si="195"/>
        <v>-2.5611370801925659E-9</v>
      </c>
      <c r="AX26" s="3">
        <f t="shared" si="195"/>
        <v>-2.0954757928848267E-9</v>
      </c>
      <c r="AY26" s="3">
        <f t="shared" si="195"/>
        <v>0</v>
      </c>
      <c r="AZ26" s="3">
        <f t="shared" si="195"/>
        <v>-1.3969838619232178E-9</v>
      </c>
      <c r="BA26" s="3">
        <f t="shared" si="195"/>
        <v>-6.0535967350006104E-9</v>
      </c>
      <c r="BB26" s="3">
        <f t="shared" si="195"/>
        <v>-4.8894435167312622E-9</v>
      </c>
      <c r="BC26" s="3">
        <f t="shared" si="195"/>
        <v>-1.3038516044616699E-8</v>
      </c>
      <c r="BD26" s="3">
        <f t="shared" si="195"/>
        <v>-1.1641532182693481E-9</v>
      </c>
      <c r="BE26" s="3">
        <f t="shared" si="195"/>
        <v>0</v>
      </c>
      <c r="BF26" s="3">
        <f t="shared" si="195"/>
        <v>-4.4237822294235229E-9</v>
      </c>
      <c r="BG26" s="3">
        <f t="shared" si="195"/>
        <v>-8.3819031715393066E-9</v>
      </c>
      <c r="BH26" s="3">
        <f t="shared" si="195"/>
        <v>0</v>
      </c>
      <c r="BI26" s="3">
        <f t="shared" si="195"/>
        <v>0</v>
      </c>
      <c r="BJ26" s="3">
        <f t="shared" si="195"/>
        <v>-5.5879354476928711E-9</v>
      </c>
      <c r="BK26" s="3">
        <f t="shared" si="195"/>
        <v>-9.3132257461547852E-9</v>
      </c>
      <c r="BL26" s="3">
        <f t="shared" si="195"/>
        <v>-1.7462298274040222E-9</v>
      </c>
      <c r="BM26" s="3">
        <f t="shared" si="195"/>
        <v>-4.1909515857696533E-9</v>
      </c>
      <c r="BN26" s="3">
        <f t="shared" si="195"/>
        <v>2.0954757928848267E-9</v>
      </c>
      <c r="BO26" s="3">
        <f t="shared" si="195"/>
        <v>0</v>
      </c>
    </row>
    <row r="28" spans="1:67" x14ac:dyDescent="0.35">
      <c r="A28" t="s">
        <v>92</v>
      </c>
    </row>
    <row r="29" spans="1:67" x14ac:dyDescent="0.35">
      <c r="D29" s="355">
        <f>D2</f>
        <v>2010</v>
      </c>
      <c r="E29" s="352"/>
      <c r="F29" s="352"/>
      <c r="G29" s="384"/>
      <c r="H29" s="355">
        <f>H2</f>
        <v>2011</v>
      </c>
      <c r="I29" s="352"/>
      <c r="J29" s="352"/>
      <c r="K29" s="384"/>
      <c r="L29" s="355">
        <f>L2</f>
        <v>2012</v>
      </c>
      <c r="M29" s="352"/>
      <c r="N29" s="352"/>
      <c r="O29" s="384"/>
      <c r="P29" s="355">
        <f>P2</f>
        <v>2013</v>
      </c>
      <c r="Q29" s="352"/>
      <c r="R29" s="352"/>
      <c r="S29" s="384"/>
      <c r="T29" s="355">
        <f>T2</f>
        <v>2014</v>
      </c>
      <c r="U29" s="352"/>
      <c r="V29" s="352"/>
      <c r="W29" s="384"/>
      <c r="X29" s="355">
        <f>X2</f>
        <v>2015</v>
      </c>
      <c r="Y29" s="352"/>
      <c r="Z29" s="352"/>
      <c r="AA29" s="384"/>
      <c r="AB29" s="355">
        <f>AB2</f>
        <v>2016</v>
      </c>
      <c r="AC29" s="352"/>
      <c r="AD29" s="352"/>
      <c r="AE29" s="384"/>
      <c r="AF29" s="355">
        <f>AF2</f>
        <v>2017</v>
      </c>
      <c r="AG29" s="352"/>
      <c r="AH29" s="352"/>
      <c r="AI29" s="384"/>
      <c r="AJ29" s="355">
        <f>AJ2</f>
        <v>2018</v>
      </c>
      <c r="AK29" s="352"/>
      <c r="AL29" s="352"/>
      <c r="AM29" s="384"/>
      <c r="AN29" s="355">
        <f>AN2</f>
        <v>2019</v>
      </c>
      <c r="AO29" s="352"/>
      <c r="AP29" s="352"/>
      <c r="AQ29" s="384"/>
      <c r="AR29" s="355">
        <f>AR2</f>
        <v>2020</v>
      </c>
      <c r="AS29" s="352"/>
      <c r="AT29" s="352"/>
      <c r="AU29" s="384"/>
      <c r="AV29" s="355">
        <f>AV2</f>
        <v>2021</v>
      </c>
      <c r="AW29" s="352"/>
      <c r="AX29" s="352"/>
      <c r="AY29" s="384"/>
      <c r="AZ29" s="355">
        <f>AZ2</f>
        <v>2022</v>
      </c>
      <c r="BA29" s="352"/>
      <c r="BB29" s="352"/>
      <c r="BC29" s="384"/>
      <c r="BD29" s="355">
        <f>BD2</f>
        <v>2023</v>
      </c>
      <c r="BE29" s="352"/>
      <c r="BF29" s="352"/>
      <c r="BG29" s="384"/>
      <c r="BH29" s="355">
        <f>BH2</f>
        <v>2024</v>
      </c>
      <c r="BI29" s="352"/>
      <c r="BJ29" s="352"/>
      <c r="BK29" s="384"/>
      <c r="BL29" s="355">
        <f>BL2</f>
        <v>2025</v>
      </c>
      <c r="BM29" s="352"/>
      <c r="BN29" s="352"/>
      <c r="BO29" s="384"/>
    </row>
    <row r="30" spans="1:67" ht="15" thickBot="1" x14ac:dyDescent="0.4">
      <c r="D30" s="50" t="str">
        <f>D3</f>
        <v>Upstream</v>
      </c>
      <c r="E30" s="51" t="str">
        <f t="shared" ref="E30:BO30" si="196">E3</f>
        <v>Gyártás</v>
      </c>
      <c r="F30" s="51" t="str">
        <f t="shared" si="196"/>
        <v>Downstream</v>
      </c>
      <c r="G30" s="57" t="str">
        <f t="shared" si="196"/>
        <v>Összesen</v>
      </c>
      <c r="H30" s="50" t="str">
        <f t="shared" si="196"/>
        <v>Upstream</v>
      </c>
      <c r="I30" s="51" t="str">
        <f t="shared" si="196"/>
        <v>Gyártás</v>
      </c>
      <c r="J30" s="51" t="str">
        <f t="shared" si="196"/>
        <v>Downstream</v>
      </c>
      <c r="K30" s="57" t="str">
        <f t="shared" si="196"/>
        <v>Összesen</v>
      </c>
      <c r="L30" s="50" t="str">
        <f t="shared" si="196"/>
        <v>Upstream</v>
      </c>
      <c r="M30" s="51" t="str">
        <f t="shared" si="196"/>
        <v>Gyártás</v>
      </c>
      <c r="N30" s="51" t="str">
        <f t="shared" si="196"/>
        <v>Downstream</v>
      </c>
      <c r="O30" s="57" t="str">
        <f t="shared" si="196"/>
        <v>Összesen</v>
      </c>
      <c r="P30" s="50" t="str">
        <f t="shared" si="196"/>
        <v>Upstream</v>
      </c>
      <c r="Q30" s="51" t="str">
        <f t="shared" si="196"/>
        <v>Gyártás</v>
      </c>
      <c r="R30" s="51" t="str">
        <f t="shared" si="196"/>
        <v>Downstream</v>
      </c>
      <c r="S30" s="57" t="str">
        <f t="shared" si="196"/>
        <v>Összesen</v>
      </c>
      <c r="T30" s="50" t="str">
        <f t="shared" si="196"/>
        <v>Upstream</v>
      </c>
      <c r="U30" s="51" t="str">
        <f t="shared" si="196"/>
        <v>Gyártás</v>
      </c>
      <c r="V30" s="51" t="str">
        <f t="shared" si="196"/>
        <v>Downstream</v>
      </c>
      <c r="W30" s="57" t="str">
        <f t="shared" si="196"/>
        <v>Összesen</v>
      </c>
      <c r="X30" s="50" t="str">
        <f t="shared" si="196"/>
        <v>Upstream</v>
      </c>
      <c r="Y30" s="51" t="str">
        <f t="shared" si="196"/>
        <v>Gyártás</v>
      </c>
      <c r="Z30" s="51" t="str">
        <f t="shared" si="196"/>
        <v>Downstream</v>
      </c>
      <c r="AA30" s="57" t="str">
        <f t="shared" si="196"/>
        <v>Összesen</v>
      </c>
      <c r="AB30" s="50" t="str">
        <f t="shared" si="196"/>
        <v>Upstream</v>
      </c>
      <c r="AC30" s="51" t="str">
        <f t="shared" si="196"/>
        <v>Gyártás</v>
      </c>
      <c r="AD30" s="51" t="str">
        <f t="shared" si="196"/>
        <v>Downstream</v>
      </c>
      <c r="AE30" s="57" t="str">
        <f t="shared" si="196"/>
        <v>Összesen</v>
      </c>
      <c r="AF30" s="50" t="str">
        <f t="shared" si="196"/>
        <v>Upstream</v>
      </c>
      <c r="AG30" s="51" t="str">
        <f t="shared" si="196"/>
        <v>Gyártás</v>
      </c>
      <c r="AH30" s="51" t="str">
        <f t="shared" si="196"/>
        <v>Downstream</v>
      </c>
      <c r="AI30" s="57" t="str">
        <f t="shared" si="196"/>
        <v>Összesen</v>
      </c>
      <c r="AJ30" s="50" t="str">
        <f t="shared" si="196"/>
        <v>Upstream</v>
      </c>
      <c r="AK30" s="51" t="str">
        <f t="shared" si="196"/>
        <v>Gyártás</v>
      </c>
      <c r="AL30" s="51" t="str">
        <f t="shared" si="196"/>
        <v>Downstream</v>
      </c>
      <c r="AM30" s="57" t="str">
        <f t="shared" si="196"/>
        <v>Összesen</v>
      </c>
      <c r="AN30" s="50" t="str">
        <f t="shared" si="196"/>
        <v>Upstream</v>
      </c>
      <c r="AO30" s="51" t="str">
        <f t="shared" si="196"/>
        <v>Gyártás</v>
      </c>
      <c r="AP30" s="51" t="str">
        <f t="shared" si="196"/>
        <v>Downstream</v>
      </c>
      <c r="AQ30" s="57" t="str">
        <f t="shared" si="196"/>
        <v>Összesen</v>
      </c>
      <c r="AR30" s="50" t="str">
        <f t="shared" si="196"/>
        <v>Upstream</v>
      </c>
      <c r="AS30" s="51" t="str">
        <f t="shared" si="196"/>
        <v>Gyártás</v>
      </c>
      <c r="AT30" s="51" t="str">
        <f t="shared" si="196"/>
        <v>Downstream</v>
      </c>
      <c r="AU30" s="57" t="str">
        <f t="shared" si="196"/>
        <v>Összesen</v>
      </c>
      <c r="AV30" s="50" t="str">
        <f t="shared" si="196"/>
        <v>Upstream</v>
      </c>
      <c r="AW30" s="51" t="str">
        <f t="shared" si="196"/>
        <v>Gyártás</v>
      </c>
      <c r="AX30" s="51" t="str">
        <f t="shared" si="196"/>
        <v>Downstream</v>
      </c>
      <c r="AY30" s="57" t="str">
        <f t="shared" si="196"/>
        <v>Összesen</v>
      </c>
      <c r="AZ30" s="50" t="str">
        <f t="shared" si="196"/>
        <v>Upstream</v>
      </c>
      <c r="BA30" s="51" t="str">
        <f t="shared" si="196"/>
        <v>Gyártás</v>
      </c>
      <c r="BB30" s="51" t="str">
        <f t="shared" si="196"/>
        <v>Downstream</v>
      </c>
      <c r="BC30" s="57" t="str">
        <f t="shared" si="196"/>
        <v>Összesen</v>
      </c>
      <c r="BD30" s="50" t="str">
        <f t="shared" si="196"/>
        <v>Upstream</v>
      </c>
      <c r="BE30" s="51" t="str">
        <f t="shared" si="196"/>
        <v>Gyártás</v>
      </c>
      <c r="BF30" s="51" t="str">
        <f t="shared" si="196"/>
        <v>Downstream</v>
      </c>
      <c r="BG30" s="57" t="str">
        <f t="shared" si="196"/>
        <v>Összesen</v>
      </c>
      <c r="BH30" s="50" t="str">
        <f t="shared" si="196"/>
        <v>Upstream</v>
      </c>
      <c r="BI30" s="51" t="str">
        <f t="shared" si="196"/>
        <v>Gyártás</v>
      </c>
      <c r="BJ30" s="51" t="str">
        <f t="shared" si="196"/>
        <v>Downstream</v>
      </c>
      <c r="BK30" s="57" t="str">
        <f t="shared" si="196"/>
        <v>Összesen</v>
      </c>
      <c r="BL30" s="50" t="str">
        <f t="shared" si="196"/>
        <v>Upstream</v>
      </c>
      <c r="BM30" s="51" t="str">
        <f t="shared" si="196"/>
        <v>Gyártás</v>
      </c>
      <c r="BN30" s="51" t="str">
        <f t="shared" si="196"/>
        <v>Downstream</v>
      </c>
      <c r="BO30" s="57" t="str">
        <f t="shared" si="196"/>
        <v>Összesen</v>
      </c>
    </row>
    <row r="31" spans="1:67" ht="15" thickBot="1" x14ac:dyDescent="0.4">
      <c r="B31" t="s">
        <v>94</v>
      </c>
      <c r="D31" s="140">
        <f>'Bázis modell AKM-ei'!C38</f>
        <v>10093108.146505527</v>
      </c>
      <c r="E31" s="141">
        <f>'Bázis modell AKM-ei'!D38</f>
        <v>41118691.725920096</v>
      </c>
      <c r="F31" s="142">
        <f>'Bázis modell AKM-ei'!E38</f>
        <v>10914156.477087112</v>
      </c>
      <c r="G31" s="283">
        <f>'Bázis modell AKM-ei'!$F$38</f>
        <v>62125956.349512734</v>
      </c>
      <c r="H31" s="284">
        <f>'Bázis modell AKM-ei'!L38</f>
        <v>10450250.497832499</v>
      </c>
      <c r="I31" s="285">
        <f>'Bázis modell AKM-ei'!M38</f>
        <v>42622860.868872218</v>
      </c>
      <c r="J31" s="286">
        <f>'Bázis modell AKM-ei'!N38</f>
        <v>11024444.214383319</v>
      </c>
      <c r="K31" s="287">
        <f>'Bázis modell AKM-ei'!O38</f>
        <v>64097555.581088036</v>
      </c>
      <c r="L31" s="284">
        <f>'Bázis modell AKM-ei'!U38</f>
        <v>10223965.464807305</v>
      </c>
      <c r="M31" s="285">
        <f>'Bázis modell AKM-ei'!V38</f>
        <v>41631389.926721856</v>
      </c>
      <c r="N31" s="286">
        <f>'Bázis modell AKM-ei'!W38</f>
        <v>10799241.710141117</v>
      </c>
      <c r="O31" s="287">
        <f>'Bázis modell AKM-ei'!X38</f>
        <v>62654597.101670273</v>
      </c>
      <c r="P31" s="284">
        <f>'Bázis modell AKM-ei'!AD38</f>
        <v>9857401.4140849058</v>
      </c>
      <c r="Q31" s="285">
        <f>'Bázis modell AKM-ei'!AE38</f>
        <v>40559018.536741287</v>
      </c>
      <c r="R31" s="286">
        <f>'Bázis modell AKM-ei'!AF38</f>
        <v>11305394.917056803</v>
      </c>
      <c r="S31" s="287">
        <f>'Bázis modell AKM-ei'!AG38</f>
        <v>61721814.867882997</v>
      </c>
      <c r="T31" s="284">
        <f>'Bázis modell AKM-ei'!AM38</f>
        <v>10612312.699342828</v>
      </c>
      <c r="U31" s="285">
        <f>'Bázis modell AKM-ei'!AN38</f>
        <v>43895369.412842296</v>
      </c>
      <c r="V31" s="286">
        <f>'Bázis modell AKM-ei'!AO38</f>
        <v>11721531.815907137</v>
      </c>
      <c r="W31" s="287">
        <f>'Bázis modell AKM-ei'!AP38</f>
        <v>66229213.928092256</v>
      </c>
      <c r="X31" s="284">
        <f>'Bázis modell AKM-ei'!AV38</f>
        <v>11168233.469879197</v>
      </c>
      <c r="Y31" s="285">
        <f>'Bázis modell AKM-ei'!AW38</f>
        <v>46287956.866357312</v>
      </c>
      <c r="Z31" s="286">
        <f>'Bázis modell AKM-ei'!AX38</f>
        <v>12128128.727673896</v>
      </c>
      <c r="AA31" s="287">
        <f>'Bázis modell AKM-ei'!AY38</f>
        <v>69584319.063910395</v>
      </c>
      <c r="AB31" s="284">
        <f>'Bázis modell AKM-ei'!BE38</f>
        <v>11489242.762485525</v>
      </c>
      <c r="AC31" s="285">
        <f>'Bázis modell AKM-ei'!BF38</f>
        <v>47570127.202673331</v>
      </c>
      <c r="AD31" s="286">
        <f>'Bázis modell AKM-ei'!BG38</f>
        <v>12549861.169122335</v>
      </c>
      <c r="AE31" s="287">
        <f>'Bázis modell AKM-ei'!BH38</f>
        <v>71609231.134281188</v>
      </c>
      <c r="AF31" s="284">
        <f>'Bázis modell AKM-ei'!BN38</f>
        <v>12208397.422879972</v>
      </c>
      <c r="AG31" s="285">
        <f>'Bázis modell AKM-ei'!BO38</f>
        <v>50660609.334470883</v>
      </c>
      <c r="AH31" s="286">
        <f>'Bázis modell AKM-ei'!BP38</f>
        <v>13122274.499133967</v>
      </c>
      <c r="AI31" s="287">
        <f>'Bázis modell AKM-ei'!BQ38</f>
        <v>75991281.256484821</v>
      </c>
      <c r="AJ31" s="284">
        <f>'Bázis modell AKM-ei'!BW38</f>
        <v>12823713.789089313</v>
      </c>
      <c r="AK31" s="285">
        <f>'Bázis modell AKM-ei'!BX38</f>
        <v>54071226.275427103</v>
      </c>
      <c r="AL31" s="286">
        <f>'Bázis modell AKM-ei'!BY38</f>
        <v>13932415.240928607</v>
      </c>
      <c r="AM31" s="287">
        <f>'Bázis modell AKM-ei'!BZ38</f>
        <v>80827355.30544503</v>
      </c>
      <c r="AN31" s="284">
        <f>'Bázis modell AKM-ei'!CF38</f>
        <v>13570586.709373394</v>
      </c>
      <c r="AO31" s="285">
        <f>'Bázis modell AKM-ei'!CG38</f>
        <v>57361100.22866264</v>
      </c>
      <c r="AP31" s="286">
        <f>'Bázis modell AKM-ei'!CH38</f>
        <v>14554034.444603726</v>
      </c>
      <c r="AQ31" s="287">
        <f>'Bázis modell AKM-ei'!CI38</f>
        <v>85485721.382639766</v>
      </c>
      <c r="AR31" s="284">
        <f>'Bázis modell AKM-ei'!CO38</f>
        <v>13594544.507270385</v>
      </c>
      <c r="AS31" s="285">
        <f>'Bázis modell AKM-ei'!CP38</f>
        <v>57460901.120162621</v>
      </c>
      <c r="AT31" s="286">
        <f>'Bázis modell AKM-ei'!CQ38</f>
        <v>14408297.559468623</v>
      </c>
      <c r="AU31" s="287">
        <f>'Bázis modell AKM-ei'!CR38</f>
        <v>85463743.186901629</v>
      </c>
      <c r="AV31" s="284">
        <f>'Bázis modell AKM-ei'!CX38</f>
        <v>14409504.191551244</v>
      </c>
      <c r="AW31" s="285">
        <f>'Bázis modell AKM-ei'!CY38</f>
        <v>61011743.074045628</v>
      </c>
      <c r="AX31" s="286">
        <f>'Bázis modell AKM-ei'!CZ38</f>
        <v>15188466.309502976</v>
      </c>
      <c r="AY31" s="287">
        <f>'Bázis modell AKM-ei'!DA38</f>
        <v>90609713.575099841</v>
      </c>
      <c r="AZ31" s="284">
        <f>'Bázis modell AKM-ei'!DG38</f>
        <v>14974739.966903813</v>
      </c>
      <c r="BA31" s="285">
        <f>'Bázis modell AKM-ei'!DH38</f>
        <v>63486986.201388024</v>
      </c>
      <c r="BB31" s="286">
        <f>'Bázis modell AKM-ei'!DI38</f>
        <v>15654503.898665566</v>
      </c>
      <c r="BC31" s="287">
        <f>'Bázis modell AKM-ei'!DJ38</f>
        <v>94116230.066957399</v>
      </c>
      <c r="BD31" s="284">
        <f>'Bázis modell AKM-ei'!DP38</f>
        <v>15539975.742256384</v>
      </c>
      <c r="BE31" s="285">
        <f>'Bázis modell AKM-ei'!DQ38</f>
        <v>65962229.328730449</v>
      </c>
      <c r="BF31" s="286">
        <f>'Bázis modell AKM-ei'!DR38</f>
        <v>16120541.487828158</v>
      </c>
      <c r="BG31" s="287">
        <f>'Bázis modell AKM-ei'!DS38</f>
        <v>97622746.558815002</v>
      </c>
      <c r="BH31" s="284">
        <f>'Bázis modell AKM-ei'!DY38</f>
        <v>16105211.517608993</v>
      </c>
      <c r="BI31" s="285">
        <f>'Bázis modell AKM-ei'!DZ38</f>
        <v>68437472.456073031</v>
      </c>
      <c r="BJ31" s="286">
        <f>'Bázis modell AKM-ei'!EA38</f>
        <v>16586579.076990757</v>
      </c>
      <c r="BK31" s="287">
        <f>'Bázis modell AKM-ei'!EB38</f>
        <v>101129263.05067277</v>
      </c>
      <c r="BL31" s="284">
        <f>'Bázis modell AKM-ei'!EH38</f>
        <v>16670447.292961597</v>
      </c>
      <c r="BM31" s="285">
        <f>'Bázis modell AKM-ei'!EI38</f>
        <v>70912715.583415523</v>
      </c>
      <c r="BN31" s="286">
        <f>'Bázis modell AKM-ei'!EJ38</f>
        <v>17052616.666153457</v>
      </c>
      <c r="BO31" s="287">
        <f>'Bázis modell AKM-ei'!EK38</f>
        <v>104635779.54253058</v>
      </c>
    </row>
    <row r="35" spans="1:67" x14ac:dyDescent="0.35">
      <c r="L35" s="140"/>
      <c r="AM35" s="178">
        <f>SUM(AM42:AM51)</f>
        <v>5.2164492875792057E-2</v>
      </c>
    </row>
    <row r="38" spans="1:67" x14ac:dyDescent="0.35">
      <c r="A38" t="s">
        <v>93</v>
      </c>
    </row>
    <row r="39" spans="1:67" x14ac:dyDescent="0.35">
      <c r="D39" s="355">
        <f>D29</f>
        <v>2010</v>
      </c>
      <c r="E39" s="352"/>
      <c r="F39" s="352"/>
      <c r="G39" s="384"/>
      <c r="H39" s="355">
        <f>H29</f>
        <v>2011</v>
      </c>
      <c r="I39" s="352"/>
      <c r="J39" s="352"/>
      <c r="K39" s="384"/>
      <c r="L39" s="355">
        <f>L29</f>
        <v>2012</v>
      </c>
      <c r="M39" s="352"/>
      <c r="N39" s="352"/>
      <c r="O39" s="384"/>
      <c r="P39" s="355">
        <f>P29</f>
        <v>2013</v>
      </c>
      <c r="Q39" s="352"/>
      <c r="R39" s="352"/>
      <c r="S39" s="384"/>
      <c r="T39" s="355">
        <f>T29</f>
        <v>2014</v>
      </c>
      <c r="U39" s="352"/>
      <c r="V39" s="352"/>
      <c r="W39" s="384"/>
      <c r="X39" s="355">
        <f>X29</f>
        <v>2015</v>
      </c>
      <c r="Y39" s="352"/>
      <c r="Z39" s="352"/>
      <c r="AA39" s="384"/>
      <c r="AB39" s="355">
        <f>AB29</f>
        <v>2016</v>
      </c>
      <c r="AC39" s="352"/>
      <c r="AD39" s="352"/>
      <c r="AE39" s="384"/>
      <c r="AF39" s="355">
        <f>AF29</f>
        <v>2017</v>
      </c>
      <c r="AG39" s="352"/>
      <c r="AH39" s="352"/>
      <c r="AI39" s="384"/>
      <c r="AJ39" s="355">
        <f>AJ29</f>
        <v>2018</v>
      </c>
      <c r="AK39" s="352"/>
      <c r="AL39" s="352"/>
      <c r="AM39" s="384"/>
      <c r="AN39" s="355">
        <f>AN29</f>
        <v>2019</v>
      </c>
      <c r="AO39" s="352"/>
      <c r="AP39" s="352"/>
      <c r="AQ39" s="384"/>
      <c r="AR39" s="355">
        <f>AR29</f>
        <v>2020</v>
      </c>
      <c r="AS39" s="352"/>
      <c r="AT39" s="352"/>
      <c r="AU39" s="384"/>
      <c r="AV39" s="355">
        <f>AV29</f>
        <v>2021</v>
      </c>
      <c r="AW39" s="352"/>
      <c r="AX39" s="352"/>
      <c r="AY39" s="384"/>
      <c r="AZ39" s="355">
        <f>AZ29</f>
        <v>2022</v>
      </c>
      <c r="BA39" s="352"/>
      <c r="BB39" s="352"/>
      <c r="BC39" s="384"/>
      <c r="BD39" s="355">
        <f>BD29</f>
        <v>2023</v>
      </c>
      <c r="BE39" s="352"/>
      <c r="BF39" s="352"/>
      <c r="BG39" s="384"/>
      <c r="BH39" s="355">
        <f>BH29</f>
        <v>2024</v>
      </c>
      <c r="BI39" s="352"/>
      <c r="BJ39" s="352"/>
      <c r="BK39" s="384"/>
      <c r="BL39" s="355">
        <f>BL29</f>
        <v>2025</v>
      </c>
      <c r="BM39" s="352"/>
      <c r="BN39" s="352"/>
      <c r="BO39" s="384"/>
    </row>
    <row r="40" spans="1:67" x14ac:dyDescent="0.35">
      <c r="D40" s="58" t="str">
        <f>D30</f>
        <v>Upstream</v>
      </c>
      <c r="E40" s="58" t="str">
        <f t="shared" ref="E40:G40" si="197">E30</f>
        <v>Gyártás</v>
      </c>
      <c r="F40" s="58" t="str">
        <f t="shared" si="197"/>
        <v>Downstream</v>
      </c>
      <c r="G40" s="58" t="str">
        <f t="shared" si="197"/>
        <v>Összesen</v>
      </c>
      <c r="H40" s="58" t="str">
        <f>H30</f>
        <v>Upstream</v>
      </c>
      <c r="I40" s="58" t="str">
        <f t="shared" ref="I40:K40" si="198">I30</f>
        <v>Gyártás</v>
      </c>
      <c r="J40" s="58" t="str">
        <f t="shared" si="198"/>
        <v>Downstream</v>
      </c>
      <c r="K40" s="58" t="str">
        <f t="shared" si="198"/>
        <v>Összesen</v>
      </c>
      <c r="L40" s="58" t="str">
        <f>L30</f>
        <v>Upstream</v>
      </c>
      <c r="M40" s="58" t="str">
        <f t="shared" ref="M40:O40" si="199">M30</f>
        <v>Gyártás</v>
      </c>
      <c r="N40" s="58" t="str">
        <f t="shared" si="199"/>
        <v>Downstream</v>
      </c>
      <c r="O40" s="58" t="str">
        <f t="shared" si="199"/>
        <v>Összesen</v>
      </c>
      <c r="P40" s="58" t="str">
        <f>P30</f>
        <v>Upstream</v>
      </c>
      <c r="Q40" s="58" t="str">
        <f t="shared" ref="Q40:S40" si="200">Q30</f>
        <v>Gyártás</v>
      </c>
      <c r="R40" s="58" t="str">
        <f t="shared" si="200"/>
        <v>Downstream</v>
      </c>
      <c r="S40" s="58" t="str">
        <f t="shared" si="200"/>
        <v>Összesen</v>
      </c>
      <c r="T40" s="58" t="str">
        <f>T30</f>
        <v>Upstream</v>
      </c>
      <c r="U40" s="58" t="str">
        <f t="shared" ref="U40:W40" si="201">U30</f>
        <v>Gyártás</v>
      </c>
      <c r="V40" s="58" t="str">
        <f t="shared" si="201"/>
        <v>Downstream</v>
      </c>
      <c r="W40" s="58" t="str">
        <f t="shared" si="201"/>
        <v>Összesen</v>
      </c>
      <c r="X40" s="58" t="str">
        <f>X30</f>
        <v>Upstream</v>
      </c>
      <c r="Y40" s="58" t="str">
        <f t="shared" ref="Y40:AA40" si="202">Y30</f>
        <v>Gyártás</v>
      </c>
      <c r="Z40" s="58" t="str">
        <f t="shared" si="202"/>
        <v>Downstream</v>
      </c>
      <c r="AA40" s="58" t="str">
        <f t="shared" si="202"/>
        <v>Összesen</v>
      </c>
      <c r="AB40" s="58" t="str">
        <f>AB30</f>
        <v>Upstream</v>
      </c>
      <c r="AC40" s="58" t="str">
        <f t="shared" ref="AC40:AE40" si="203">AC30</f>
        <v>Gyártás</v>
      </c>
      <c r="AD40" s="58" t="str">
        <f t="shared" si="203"/>
        <v>Downstream</v>
      </c>
      <c r="AE40" s="58" t="str">
        <f t="shared" si="203"/>
        <v>Összesen</v>
      </c>
      <c r="AF40" s="58" t="str">
        <f>AF30</f>
        <v>Upstream</v>
      </c>
      <c r="AG40" s="58" t="str">
        <f t="shared" ref="AG40:AI40" si="204">AG30</f>
        <v>Gyártás</v>
      </c>
      <c r="AH40" s="58" t="str">
        <f t="shared" si="204"/>
        <v>Downstream</v>
      </c>
      <c r="AI40" s="58" t="str">
        <f t="shared" si="204"/>
        <v>Összesen</v>
      </c>
      <c r="AJ40" s="58" t="str">
        <f>AJ30</f>
        <v>Upstream</v>
      </c>
      <c r="AK40" s="58" t="str">
        <f t="shared" ref="AK40:AM40" si="205">AK30</f>
        <v>Gyártás</v>
      </c>
      <c r="AL40" s="58" t="str">
        <f t="shared" si="205"/>
        <v>Downstream</v>
      </c>
      <c r="AM40" s="58" t="str">
        <f t="shared" si="205"/>
        <v>Összesen</v>
      </c>
      <c r="AN40" s="58" t="str">
        <f>AN30</f>
        <v>Upstream</v>
      </c>
      <c r="AO40" s="58" t="str">
        <f t="shared" ref="AO40:AQ40" si="206">AO30</f>
        <v>Gyártás</v>
      </c>
      <c r="AP40" s="58" t="str">
        <f t="shared" si="206"/>
        <v>Downstream</v>
      </c>
      <c r="AQ40" s="58" t="str">
        <f t="shared" si="206"/>
        <v>Összesen</v>
      </c>
      <c r="AR40" s="58" t="str">
        <f>AR30</f>
        <v>Upstream</v>
      </c>
      <c r="AS40" s="58" t="str">
        <f t="shared" ref="AS40:AU40" si="207">AS30</f>
        <v>Gyártás</v>
      </c>
      <c r="AT40" s="58" t="str">
        <f t="shared" si="207"/>
        <v>Downstream</v>
      </c>
      <c r="AU40" s="58" t="str">
        <f t="shared" si="207"/>
        <v>Összesen</v>
      </c>
      <c r="AV40" s="58" t="str">
        <f>AV30</f>
        <v>Upstream</v>
      </c>
      <c r="AW40" s="58" t="str">
        <f t="shared" ref="AW40:AY40" si="208">AW30</f>
        <v>Gyártás</v>
      </c>
      <c r="AX40" s="58" t="str">
        <f t="shared" si="208"/>
        <v>Downstream</v>
      </c>
      <c r="AY40" s="58" t="str">
        <f t="shared" si="208"/>
        <v>Összesen</v>
      </c>
      <c r="AZ40" s="58" t="str">
        <f>AZ30</f>
        <v>Upstream</v>
      </c>
      <c r="BA40" s="58" t="str">
        <f t="shared" ref="BA40:BC40" si="209">BA30</f>
        <v>Gyártás</v>
      </c>
      <c r="BB40" s="58" t="str">
        <f t="shared" si="209"/>
        <v>Downstream</v>
      </c>
      <c r="BC40" s="12" t="str">
        <f t="shared" si="209"/>
        <v>Összesen</v>
      </c>
      <c r="BD40" s="58" t="str">
        <f>BD30</f>
        <v>Upstream</v>
      </c>
      <c r="BE40" s="58" t="str">
        <f t="shared" ref="BE40:BG40" si="210">BE30</f>
        <v>Gyártás</v>
      </c>
      <c r="BF40" s="58" t="str">
        <f t="shared" si="210"/>
        <v>Downstream</v>
      </c>
      <c r="BG40" s="12" t="str">
        <f t="shared" si="210"/>
        <v>Összesen</v>
      </c>
      <c r="BH40" s="58" t="str">
        <f>BH30</f>
        <v>Upstream</v>
      </c>
      <c r="BI40" s="58" t="str">
        <f t="shared" ref="BI40:BK40" si="211">BI30</f>
        <v>Gyártás</v>
      </c>
      <c r="BJ40" s="58" t="str">
        <f t="shared" si="211"/>
        <v>Downstream</v>
      </c>
      <c r="BK40" s="12" t="str">
        <f t="shared" si="211"/>
        <v>Összesen</v>
      </c>
      <c r="BL40" s="58" t="str">
        <f>BL30</f>
        <v>Upstream</v>
      </c>
      <c r="BM40" s="58" t="str">
        <f t="shared" ref="BM40:BO40" si="212">BM30</f>
        <v>Gyártás</v>
      </c>
      <c r="BN40" s="58" t="str">
        <f t="shared" si="212"/>
        <v>Downstream</v>
      </c>
      <c r="BO40" s="12" t="str">
        <f t="shared" si="212"/>
        <v>Összesen</v>
      </c>
    </row>
    <row r="41" spans="1:67" x14ac:dyDescent="0.35">
      <c r="D41" s="108"/>
      <c r="E41" s="107"/>
      <c r="F41" s="110"/>
      <c r="G41" s="112"/>
      <c r="H41" s="108"/>
      <c r="I41" s="107"/>
      <c r="J41" s="107"/>
      <c r="K41" s="156"/>
      <c r="L41" s="108"/>
      <c r="M41" s="107"/>
      <c r="N41" s="110"/>
      <c r="O41" s="112"/>
      <c r="P41" s="108"/>
      <c r="Q41" s="107"/>
      <c r="R41" s="110"/>
      <c r="S41" s="112"/>
      <c r="T41" s="108"/>
      <c r="U41" s="107"/>
      <c r="V41" s="110"/>
      <c r="W41" s="112"/>
      <c r="X41" s="108"/>
      <c r="Y41" s="107"/>
      <c r="Z41" s="110"/>
      <c r="AA41" s="112"/>
      <c r="AB41" s="108"/>
      <c r="AC41" s="107"/>
      <c r="AD41" s="110"/>
      <c r="AE41" s="112"/>
      <c r="AF41" s="108"/>
      <c r="AG41" s="107"/>
      <c r="AH41" s="110"/>
      <c r="AI41" s="112"/>
      <c r="AJ41" s="108"/>
      <c r="AK41" s="107"/>
      <c r="AL41" s="110"/>
      <c r="AM41" s="112"/>
      <c r="AN41" s="108"/>
      <c r="AO41" s="107"/>
      <c r="AP41" s="110"/>
      <c r="AQ41" s="112"/>
      <c r="AR41" s="108" t="s">
        <v>938</v>
      </c>
      <c r="AS41" s="107"/>
      <c r="AT41" s="110"/>
      <c r="AU41" s="112"/>
      <c r="AV41" s="108" t="s">
        <v>939</v>
      </c>
      <c r="AW41" s="107"/>
      <c r="AX41" s="110"/>
      <c r="AY41" s="112"/>
      <c r="AZ41" s="400" t="s">
        <v>940</v>
      </c>
      <c r="BA41" s="401"/>
      <c r="BB41" s="402"/>
      <c r="BC41" s="51"/>
      <c r="BD41" s="400" t="s">
        <v>941</v>
      </c>
      <c r="BE41" s="401"/>
      <c r="BF41" s="402"/>
      <c r="BG41" s="51"/>
      <c r="BH41" s="400" t="s">
        <v>942</v>
      </c>
      <c r="BI41" s="401"/>
      <c r="BJ41" s="402"/>
      <c r="BK41" s="53"/>
      <c r="BL41" s="400" t="s">
        <v>943</v>
      </c>
      <c r="BM41" s="401"/>
      <c r="BN41" s="402"/>
      <c r="BO41" s="112"/>
    </row>
    <row r="42" spans="1:67" ht="14.5" customHeight="1" x14ac:dyDescent="0.35">
      <c r="B42" t="str">
        <f t="shared" ref="B42:B52" si="213">B5</f>
        <v>0 FEGYVERES SZERVEK FOGLALKOZÁSAI</v>
      </c>
      <c r="D42" s="150"/>
      <c r="E42" s="150"/>
      <c r="F42" s="151"/>
      <c r="G42" s="154" t="s">
        <v>127</v>
      </c>
      <c r="H42" s="288">
        <f>H5/H$15*H$52</f>
        <v>9.9519145518636885E-6</v>
      </c>
      <c r="I42" s="288">
        <f t="shared" ref="I42:J42" si="214">I5/I$15*I$52</f>
        <v>0</v>
      </c>
      <c r="J42" s="289">
        <f t="shared" si="214"/>
        <v>1.0825942576251329E-3</v>
      </c>
      <c r="K42" s="290">
        <f>K5/K$15*K$52</f>
        <v>1.8782307516812861E-4</v>
      </c>
      <c r="L42" s="288">
        <f>L5/L$15*L$52</f>
        <v>4.8904703534170599E-6</v>
      </c>
      <c r="M42" s="288">
        <f t="shared" ref="M42:N42" si="215">M5/M$15*M$52</f>
        <v>1.0088541380416785E-6</v>
      </c>
      <c r="N42" s="289">
        <f t="shared" si="215"/>
        <v>1.1262827822974123E-3</v>
      </c>
      <c r="O42" s="290">
        <f>O5/O$15*O$52</f>
        <v>1.9559618235376539E-4</v>
      </c>
      <c r="P42" s="288">
        <f>P5/P$15*P$52</f>
        <v>1.0449001280685069E-5</v>
      </c>
      <c r="Q42" s="288">
        <f t="shared" ref="Q42:R42" si="216">Q5/Q$15*Q$52</f>
        <v>0</v>
      </c>
      <c r="R42" s="289">
        <f t="shared" si="216"/>
        <v>1.115662043876979E-3</v>
      </c>
      <c r="S42" s="290">
        <f>S5/S$15*S$52</f>
        <v>2.0602116167871761E-4</v>
      </c>
      <c r="T42" s="288">
        <f>T5/T$15*T$52</f>
        <v>1.5830668089002268E-5</v>
      </c>
      <c r="U42" s="288">
        <f t="shared" ref="U42:V42" si="217">U5/U$15*U$52</f>
        <v>1.7086084706250941E-6</v>
      </c>
      <c r="V42" s="289">
        <f t="shared" si="217"/>
        <v>1.1710926707865321E-3</v>
      </c>
      <c r="W42" s="290">
        <f>W5/W$15*W$52</f>
        <v>2.1093410553185482E-4</v>
      </c>
      <c r="X42" s="288">
        <f>X5/X$15*X$52</f>
        <v>2.0594125348499527E-6</v>
      </c>
      <c r="Y42" s="288">
        <f t="shared" ref="Y42:Z42" si="218">Y5/Y$15*Y$52</f>
        <v>0</v>
      </c>
      <c r="Z42" s="289">
        <f t="shared" si="218"/>
        <v>9.2289587712405098E-4</v>
      </c>
      <c r="AA42" s="290">
        <f>AA5/AA$15*AA$52</f>
        <v>1.6118574056460272E-4</v>
      </c>
      <c r="AB42" s="288">
        <f>AB5/AB$15*AB$52</f>
        <v>1.1837159577136348E-5</v>
      </c>
      <c r="AC42" s="288">
        <f t="shared" ref="AC42:AD42" si="219">AC5/AC$15*AC$52</f>
        <v>6.3064788269714919E-7</v>
      </c>
      <c r="AD42" s="289">
        <f t="shared" si="219"/>
        <v>8.5467080913932648E-4</v>
      </c>
      <c r="AE42" s="290">
        <f>AE5/AE$15*AE$52</f>
        <v>1.5210329488910988E-4</v>
      </c>
      <c r="AF42" s="288">
        <f>AF5/AF$15*AF$52</f>
        <v>2.0477708198741188E-6</v>
      </c>
      <c r="AG42" s="288">
        <f t="shared" ref="AG42:AH42" si="220">AG5/AG$15*AG$52</f>
        <v>0</v>
      </c>
      <c r="AH42" s="289">
        <f t="shared" si="220"/>
        <v>1.0027225082715951E-3</v>
      </c>
      <c r="AI42" s="290">
        <f>AI5/AI$15*AI$52</f>
        <v>1.7348042804417131E-4</v>
      </c>
      <c r="AJ42" s="288">
        <f>AJ5/AJ$15*AJ$52</f>
        <v>0</v>
      </c>
      <c r="AK42" s="288">
        <f t="shared" ref="AK42:AL42" si="221">AK5/AK$15*AK$52</f>
        <v>0</v>
      </c>
      <c r="AL42" s="289">
        <f t="shared" si="221"/>
        <v>6.4712397987637621E-4</v>
      </c>
      <c r="AM42" s="290">
        <f>AM5/AM$15*AM$52</f>
        <v>1.1154639374168201E-4</v>
      </c>
      <c r="AN42" s="158">
        <f>M68</f>
        <v>2.1252453546627588E-6</v>
      </c>
      <c r="AO42" s="158">
        <f>M93</f>
        <v>1.5810655180930775E-7</v>
      </c>
      <c r="AP42" s="159">
        <f>M118</f>
        <v>7.3874148332579714E-4</v>
      </c>
      <c r="AQ42" s="157">
        <f>M143</f>
        <v>1.2897821702137144E-4</v>
      </c>
      <c r="AR42" s="158">
        <f>N68</f>
        <v>1.012344399953756E-6</v>
      </c>
      <c r="AS42" s="158">
        <f>N93</f>
        <v>1.0023827189570593E-7</v>
      </c>
      <c r="AT42" s="159">
        <f>N118</f>
        <v>6.8282167603715693E-4</v>
      </c>
      <c r="AU42" s="157">
        <f>N143</f>
        <v>1.1878753241578374E-4</v>
      </c>
      <c r="AV42" s="158">
        <f>O68</f>
        <v>-1.0055655475524686E-7</v>
      </c>
      <c r="AW42" s="158">
        <f>O93</f>
        <v>4.2369991982117651E-8</v>
      </c>
      <c r="AX42" s="159">
        <f>O118</f>
        <v>6.2690186874851672E-4</v>
      </c>
      <c r="AY42" s="157">
        <f>O143</f>
        <v>1.0859684781019951E-4</v>
      </c>
      <c r="AZ42" s="158">
        <f>P68</f>
        <v>-1.2134575094642497E-6</v>
      </c>
      <c r="BA42" s="158">
        <f>P93</f>
        <v>-1.5498287931484177E-8</v>
      </c>
      <c r="BB42" s="159">
        <f>P118</f>
        <v>5.7098206145987651E-4</v>
      </c>
      <c r="BC42" s="157">
        <f>P143</f>
        <v>9.8406163204615288E-5</v>
      </c>
      <c r="BD42" s="158">
        <f>Q68</f>
        <v>-2.3263584641732525E-6</v>
      </c>
      <c r="BE42" s="158">
        <f>Q93</f>
        <v>-7.3366567845072452E-8</v>
      </c>
      <c r="BF42" s="159">
        <f>Q118</f>
        <v>5.150622541712363E-4</v>
      </c>
      <c r="BG42" s="157">
        <f>Q143</f>
        <v>8.8215478599027591E-5</v>
      </c>
      <c r="BH42" s="158">
        <f>R68</f>
        <v>-3.4392594188822553E-6</v>
      </c>
      <c r="BI42" s="158">
        <f>R93</f>
        <v>-1.3123484775867428E-7</v>
      </c>
      <c r="BJ42" s="159">
        <f>R118</f>
        <v>4.5914244688259609E-4</v>
      </c>
      <c r="BK42" s="157">
        <f>R143</f>
        <v>7.8024793993443364E-5</v>
      </c>
      <c r="BL42" s="158">
        <f>S68</f>
        <v>-4.5521603735912582E-6</v>
      </c>
      <c r="BM42" s="158">
        <f>S93</f>
        <v>-1.8910312767226255E-7</v>
      </c>
      <c r="BN42" s="159">
        <f>S118</f>
        <v>4.0322263959395588E-4</v>
      </c>
      <c r="BO42" s="157">
        <f>S143</f>
        <v>6.7834109387859137E-5</v>
      </c>
    </row>
    <row r="43" spans="1:67" x14ac:dyDescent="0.35">
      <c r="B43" t="str">
        <f t="shared" si="213"/>
        <v>1 GAZDASÁGI, IGAZGATÁSI, ÉRDEK-KÉPVISELETI VEZETŐK, TÖRVÉNYHOZÓK</v>
      </c>
      <c r="D43" s="152"/>
      <c r="E43" s="152"/>
      <c r="F43" s="153"/>
      <c r="G43" s="154"/>
      <c r="H43" s="288">
        <f t="shared" ref="H43:K51" si="222">H6/H$15*H$52</f>
        <v>3.3168582903528765E-3</v>
      </c>
      <c r="I43" s="288">
        <f t="shared" si="222"/>
        <v>2.0354569879038613E-3</v>
      </c>
      <c r="J43" s="289">
        <f t="shared" si="222"/>
        <v>8.4426931816268848E-3</v>
      </c>
      <c r="K43" s="290">
        <f t="shared" si="222"/>
        <v>3.3463834627616702E-3</v>
      </c>
      <c r="L43" s="288">
        <f t="shared" ref="L43:O43" si="223">L6/L$15*L$52</f>
        <v>3.2260476733350974E-3</v>
      </c>
      <c r="M43" s="288">
        <f t="shared" si="223"/>
        <v>1.771812090104008E-3</v>
      </c>
      <c r="N43" s="289">
        <f t="shared" si="223"/>
        <v>7.5639570066565907E-3</v>
      </c>
      <c r="O43" s="290">
        <f t="shared" si="223"/>
        <v>3.0074568940924007E-3</v>
      </c>
      <c r="P43" s="288">
        <f t="shared" ref="P43:AM43" si="224">P6/P$15*P$52</f>
        <v>3.2764213044882105E-3</v>
      </c>
      <c r="Q43" s="288">
        <f t="shared" si="224"/>
        <v>1.7106676271554221E-3</v>
      </c>
      <c r="R43" s="289">
        <f t="shared" si="224"/>
        <v>7.1825885425274277E-3</v>
      </c>
      <c r="S43" s="290">
        <f t="shared" si="224"/>
        <v>2.9630042537061368E-3</v>
      </c>
      <c r="T43" s="288">
        <f t="shared" si="224"/>
        <v>3.3988821307756648E-3</v>
      </c>
      <c r="U43" s="288">
        <f t="shared" si="224"/>
        <v>1.7693665878405224E-3</v>
      </c>
      <c r="V43" s="289">
        <f t="shared" si="224"/>
        <v>7.2847134095665768E-3</v>
      </c>
      <c r="W43" s="290">
        <f t="shared" si="224"/>
        <v>3.0066037053708364E-3</v>
      </c>
      <c r="X43" s="288">
        <f t="shared" si="224"/>
        <v>2.9536452733519738E-3</v>
      </c>
      <c r="Y43" s="288">
        <f t="shared" si="224"/>
        <v>1.6465621980259577E-3</v>
      </c>
      <c r="Z43" s="289">
        <f t="shared" si="224"/>
        <v>7.2285677344401346E-3</v>
      </c>
      <c r="AA43" s="290">
        <f t="shared" si="224"/>
        <v>2.8292581237905198E-3</v>
      </c>
      <c r="AB43" s="288">
        <f t="shared" si="224"/>
        <v>3.0220442476305231E-3</v>
      </c>
      <c r="AC43" s="288">
        <f t="shared" si="224"/>
        <v>1.6614628685617298E-3</v>
      </c>
      <c r="AD43" s="289">
        <f t="shared" si="224"/>
        <v>6.9164908543821258E-3</v>
      </c>
      <c r="AE43" s="290">
        <f t="shared" si="224"/>
        <v>2.8007282975000092E-3</v>
      </c>
      <c r="AF43" s="288">
        <f t="shared" si="224"/>
        <v>3.1276832394429343E-3</v>
      </c>
      <c r="AG43" s="288">
        <f t="shared" si="224"/>
        <v>1.5487180480202854E-3</v>
      </c>
      <c r="AH43" s="289">
        <f t="shared" si="224"/>
        <v>6.4821079612085337E-3</v>
      </c>
      <c r="AI43" s="290">
        <f t="shared" si="224"/>
        <v>2.6542913432294232E-3</v>
      </c>
      <c r="AJ43" s="288">
        <f t="shared" si="224"/>
        <v>2.0353698179233601E-3</v>
      </c>
      <c r="AK43" s="288">
        <f t="shared" si="224"/>
        <v>1.5058286191856273E-3</v>
      </c>
      <c r="AL43" s="289">
        <f t="shared" si="224"/>
        <v>6.3683143565340895E-3</v>
      </c>
      <c r="AM43" s="290">
        <f t="shared" si="224"/>
        <v>2.4280022432798744E-3</v>
      </c>
      <c r="AN43" s="158">
        <f t="shared" ref="AN43:AN51" si="225">M69</f>
        <v>2.4729792022805674E-3</v>
      </c>
      <c r="AO43" s="158">
        <f t="shared" ref="AO43:AO51" si="226">M94</f>
        <v>1.4333796931509935E-3</v>
      </c>
      <c r="AP43" s="159">
        <f t="shared" ref="AP43:AP51" si="227">M119</f>
        <v>6.0702325732364115E-3</v>
      </c>
      <c r="AQ43" s="157">
        <f t="shared" ref="AQ43:AQ51" si="228">M144</f>
        <v>2.4048944472045974E-3</v>
      </c>
      <c r="AR43" s="158">
        <f t="shared" ref="AR43:AR51" si="229">N69</f>
        <v>2.3459481367512081E-3</v>
      </c>
      <c r="AS43" s="158">
        <f t="shared" ref="AS43:AS51" si="230">N94</f>
        <v>1.3727453186623967E-3</v>
      </c>
      <c r="AT43" s="159">
        <f t="shared" ref="AT43:AT51" si="231">N119</f>
        <v>5.8228000048738404E-3</v>
      </c>
      <c r="AU43" s="157">
        <f t="shared" ref="AU43:AU51" si="232">N144</f>
        <v>2.2994340931464241E-3</v>
      </c>
      <c r="AV43" s="158">
        <f t="shared" ref="AV43:AV51" si="233">O69</f>
        <v>2.2189170712218487E-3</v>
      </c>
      <c r="AW43" s="158">
        <f t="shared" ref="AW43:AW51" si="234">O94</f>
        <v>1.3121109441738138E-3</v>
      </c>
      <c r="AX43" s="159">
        <f t="shared" ref="AX43:AX51" si="235">O119</f>
        <v>5.5753674365113248E-3</v>
      </c>
      <c r="AY43" s="157">
        <f t="shared" ref="AY43:AY51" si="236">O144</f>
        <v>2.1939737390882508E-3</v>
      </c>
      <c r="AZ43" s="158">
        <f t="shared" ref="AZ43:AZ51" si="237">P69</f>
        <v>2.0918860056925448E-3</v>
      </c>
      <c r="BA43" s="158">
        <f t="shared" ref="BA43:BA51" si="238">P94</f>
        <v>1.251476569685217E-3</v>
      </c>
      <c r="BB43" s="159">
        <f t="shared" ref="BB43:BB51" si="239">P119</f>
        <v>5.3279348681487537E-3</v>
      </c>
      <c r="BC43" s="157">
        <f t="shared" ref="BC43:BC51" si="240">P144</f>
        <v>2.0885133850301052E-3</v>
      </c>
      <c r="BD43" s="158">
        <f t="shared" ref="BD43:BD51" si="241">Q69</f>
        <v>1.9648549401631854E-3</v>
      </c>
      <c r="BE43" s="158">
        <f t="shared" ref="BE43:BE51" si="242">Q94</f>
        <v>1.1908421951966203E-3</v>
      </c>
      <c r="BF43" s="159">
        <f t="shared" ref="BF43:BF51" si="243">Q119</f>
        <v>5.0805022997862936E-3</v>
      </c>
      <c r="BG43" s="157">
        <f t="shared" ref="BG43:BG51" si="244">Q144</f>
        <v>1.9830530309719319E-3</v>
      </c>
      <c r="BH43" s="158">
        <f t="shared" ref="BH43:BH51" si="245">R69</f>
        <v>1.8378238746338815E-3</v>
      </c>
      <c r="BI43" s="158">
        <f t="shared" ref="BI43:BI51" si="246">R94</f>
        <v>1.1302078207080235E-3</v>
      </c>
      <c r="BJ43" s="159">
        <f t="shared" ref="BJ43:BJ51" si="247">R119</f>
        <v>4.8330697314237225E-3</v>
      </c>
      <c r="BK43" s="157">
        <f t="shared" ref="BK43:BK51" si="248">R144</f>
        <v>1.8775926769137585E-3</v>
      </c>
      <c r="BL43" s="158">
        <f t="shared" ref="BL43:BL51" si="249">S69</f>
        <v>1.7107928091045221E-3</v>
      </c>
      <c r="BM43" s="158">
        <f t="shared" ref="BM43:BM51" si="250">S94</f>
        <v>1.0695734462194267E-3</v>
      </c>
      <c r="BN43" s="159">
        <f t="shared" ref="BN43:BN51" si="251">S119</f>
        <v>4.5856371630612625E-3</v>
      </c>
      <c r="BO43" s="157">
        <f t="shared" ref="BO43:BO51" si="252">S144</f>
        <v>1.7721323228555852E-3</v>
      </c>
    </row>
    <row r="44" spans="1:67" x14ac:dyDescent="0.35">
      <c r="B44" t="str">
        <f t="shared" si="213"/>
        <v>2 FELSŐFOKÚ KÉPZETTSÉG ÖNÁLLÓ ALKALMAZÁSÁT IGÉNYLŐ FOGLALKOZÁSOK</v>
      </c>
      <c r="D44" s="152"/>
      <c r="E44" s="152"/>
      <c r="F44" s="153"/>
      <c r="G44" s="154"/>
      <c r="H44" s="288">
        <f t="shared" si="222"/>
        <v>9.8682801930336031E-3</v>
      </c>
      <c r="I44" s="288">
        <f t="shared" si="222"/>
        <v>3.0839318928963769E-3</v>
      </c>
      <c r="J44" s="289">
        <f t="shared" si="222"/>
        <v>3.2773443538188451E-2</v>
      </c>
      <c r="K44" s="290">
        <f t="shared" si="222"/>
        <v>9.2964699604833993E-3</v>
      </c>
      <c r="L44" s="288">
        <f t="shared" ref="L44:O44" si="253">L7/L$15*L$52</f>
        <v>9.9335233818607319E-3</v>
      </c>
      <c r="M44" s="288">
        <f t="shared" si="253"/>
        <v>3.7779185435998859E-3</v>
      </c>
      <c r="N44" s="289">
        <f t="shared" si="253"/>
        <v>3.3264002199586466E-2</v>
      </c>
      <c r="O44" s="290">
        <f t="shared" si="253"/>
        <v>9.8646552462392807E-3</v>
      </c>
      <c r="P44" s="288">
        <f t="shared" ref="P44:AM44" si="254">P7/P$15*P$52</f>
        <v>1.1063869210415479E-2</v>
      </c>
      <c r="Q44" s="288">
        <f t="shared" si="254"/>
        <v>3.9374226931880524E-3</v>
      </c>
      <c r="R44" s="289">
        <f t="shared" si="254"/>
        <v>3.1592439062976388E-2</v>
      </c>
      <c r="S44" s="290">
        <f t="shared" si="254"/>
        <v>1.0141049827193271E-2</v>
      </c>
      <c r="T44" s="288">
        <f t="shared" si="254"/>
        <v>9.3366076563250675E-3</v>
      </c>
      <c r="U44" s="288">
        <f t="shared" si="254"/>
        <v>3.8264172792417603E-3</v>
      </c>
      <c r="V44" s="289">
        <f t="shared" si="254"/>
        <v>3.196715291865642E-2</v>
      </c>
      <c r="W44" s="290">
        <f t="shared" si="254"/>
        <v>9.6898175584081807E-3</v>
      </c>
      <c r="X44" s="288">
        <f t="shared" si="254"/>
        <v>9.9302186240201873E-3</v>
      </c>
      <c r="Y44" s="288">
        <f t="shared" si="254"/>
        <v>3.7109868663234859E-3</v>
      </c>
      <c r="Z44" s="289">
        <f t="shared" si="254"/>
        <v>3.1200773713470988E-2</v>
      </c>
      <c r="AA44" s="290">
        <f t="shared" si="254"/>
        <v>9.5004737977362527E-3</v>
      </c>
      <c r="AB44" s="288">
        <f t="shared" si="254"/>
        <v>9.0542955833144319E-3</v>
      </c>
      <c r="AC44" s="288">
        <f t="shared" si="254"/>
        <v>3.7209906806818993E-3</v>
      </c>
      <c r="AD44" s="289">
        <f t="shared" si="254"/>
        <v>2.9805110587224043E-2</v>
      </c>
      <c r="AE44" s="290">
        <f t="shared" si="254"/>
        <v>9.1480524175938799E-3</v>
      </c>
      <c r="AF44" s="288">
        <f t="shared" si="254"/>
        <v>8.0225107856044392E-3</v>
      </c>
      <c r="AG44" s="288">
        <f t="shared" si="254"/>
        <v>3.6370071821190896E-3</v>
      </c>
      <c r="AH44" s="289">
        <f t="shared" si="254"/>
        <v>2.7969998648041006E-2</v>
      </c>
      <c r="AI44" s="290">
        <f t="shared" si="254"/>
        <v>8.5434143136597987E-3</v>
      </c>
      <c r="AJ44" s="288">
        <f t="shared" si="254"/>
        <v>8.3627100357809691E-3</v>
      </c>
      <c r="AK44" s="288">
        <f t="shared" si="254"/>
        <v>3.3817616613422302E-3</v>
      </c>
      <c r="AL44" s="289">
        <f t="shared" si="254"/>
        <v>2.8306865190282259E-2</v>
      </c>
      <c r="AM44" s="290">
        <f t="shared" si="254"/>
        <v>8.4684200963072859E-3</v>
      </c>
      <c r="AN44" s="158">
        <f t="shared" si="225"/>
        <v>8.0788681483127123E-3</v>
      </c>
      <c r="AO44" s="158">
        <f t="shared" si="226"/>
        <v>3.6675291599926833E-3</v>
      </c>
      <c r="AP44" s="159">
        <f t="shared" si="227"/>
        <v>2.7438664438079075E-2</v>
      </c>
      <c r="AQ44" s="157">
        <f t="shared" si="228"/>
        <v>8.4973893467598094E-3</v>
      </c>
      <c r="AR44" s="158">
        <f t="shared" si="229"/>
        <v>7.7749495293167881E-3</v>
      </c>
      <c r="AS44" s="158">
        <f t="shared" si="230"/>
        <v>3.674856840007925E-3</v>
      </c>
      <c r="AT44" s="159">
        <f t="shared" si="231"/>
        <v>2.6678373594918314E-2</v>
      </c>
      <c r="AU44" s="157">
        <f t="shared" si="232"/>
        <v>8.3120216122169466E-3</v>
      </c>
      <c r="AV44" s="158">
        <f t="shared" si="233"/>
        <v>7.4710309103208639E-3</v>
      </c>
      <c r="AW44" s="158">
        <f t="shared" si="234"/>
        <v>3.6821845200231667E-3</v>
      </c>
      <c r="AX44" s="159">
        <f t="shared" si="235"/>
        <v>2.5918082751757332E-2</v>
      </c>
      <c r="AY44" s="157">
        <f t="shared" si="236"/>
        <v>8.1266538776740838E-3</v>
      </c>
      <c r="AZ44" s="158">
        <f t="shared" si="237"/>
        <v>7.1671122913249397E-3</v>
      </c>
      <c r="BA44" s="158">
        <f t="shared" si="238"/>
        <v>3.6895122000384067E-3</v>
      </c>
      <c r="BB44" s="159">
        <f t="shared" si="239"/>
        <v>2.5157791908596572E-2</v>
      </c>
      <c r="BC44" s="157">
        <f t="shared" si="240"/>
        <v>7.9412861431312209E-3</v>
      </c>
      <c r="BD44" s="158">
        <f t="shared" si="241"/>
        <v>6.8631936723290154E-3</v>
      </c>
      <c r="BE44" s="158">
        <f t="shared" si="242"/>
        <v>3.6968398800536484E-3</v>
      </c>
      <c r="BF44" s="159">
        <f t="shared" si="243"/>
        <v>2.4397501065435589E-2</v>
      </c>
      <c r="BG44" s="157">
        <f t="shared" si="244"/>
        <v>7.7559184085883581E-3</v>
      </c>
      <c r="BH44" s="158">
        <f t="shared" si="245"/>
        <v>6.5592750533330912E-3</v>
      </c>
      <c r="BI44" s="158">
        <f t="shared" si="246"/>
        <v>3.7041675600688901E-3</v>
      </c>
      <c r="BJ44" s="159">
        <f t="shared" si="247"/>
        <v>2.3637210222274829E-2</v>
      </c>
      <c r="BK44" s="157">
        <f t="shared" si="248"/>
        <v>7.5705506740454953E-3</v>
      </c>
      <c r="BL44" s="158">
        <f t="shared" si="249"/>
        <v>6.255356434337167E-3</v>
      </c>
      <c r="BM44" s="158">
        <f t="shared" si="250"/>
        <v>3.7114952400841301E-3</v>
      </c>
      <c r="BN44" s="159">
        <f t="shared" si="251"/>
        <v>2.2876919379113847E-2</v>
      </c>
      <c r="BO44" s="157">
        <f t="shared" si="252"/>
        <v>7.3851829395026325E-3</v>
      </c>
    </row>
    <row r="45" spans="1:67" x14ac:dyDescent="0.35">
      <c r="B45" t="str">
        <f t="shared" si="213"/>
        <v>3 EGYÉB FELSŐFOKÚ VAGY KÖZÉPFOKÚ KÉPZETTSÉGET IGÉNYLŐ FOGLALKOZÁSOK</v>
      </c>
      <c r="D45" s="152"/>
      <c r="E45" s="152"/>
      <c r="F45" s="153"/>
      <c r="G45" s="154"/>
      <c r="H45" s="288">
        <f t="shared" si="222"/>
        <v>1.0351330814743294E-2</v>
      </c>
      <c r="I45" s="288">
        <f t="shared" si="222"/>
        <v>4.6099439595219038E-3</v>
      </c>
      <c r="J45" s="289">
        <f t="shared" si="222"/>
        <v>2.3013586450824273E-2</v>
      </c>
      <c r="K45" s="290">
        <f t="shared" si="222"/>
        <v>8.7113306418310325E-3</v>
      </c>
      <c r="L45" s="288">
        <f t="shared" ref="L45:O45" si="255">L8/L$15*L$52</f>
        <v>1.085987627620499E-2</v>
      </c>
      <c r="M45" s="288">
        <f t="shared" si="255"/>
        <v>4.7522554579185671E-3</v>
      </c>
      <c r="N45" s="289">
        <f t="shared" si="255"/>
        <v>2.5169452383379257E-2</v>
      </c>
      <c r="O45" s="290">
        <f t="shared" si="255"/>
        <v>9.2680350183677093E-3</v>
      </c>
      <c r="P45" s="288">
        <f t="shared" ref="P45:AM45" si="256">P8/P$15*P$52</f>
        <v>1.2184144172965044E-2</v>
      </c>
      <c r="Q45" s="288">
        <f t="shared" si="256"/>
        <v>5.3513129220172295E-3</v>
      </c>
      <c r="R45" s="289">
        <f t="shared" si="256"/>
        <v>2.4577027343007235E-2</v>
      </c>
      <c r="S45" s="290">
        <f t="shared" si="256"/>
        <v>9.9640783621872449E-3</v>
      </c>
      <c r="T45" s="288">
        <f t="shared" si="256"/>
        <v>1.2281206151046687E-2</v>
      </c>
      <c r="U45" s="288">
        <f t="shared" si="256"/>
        <v>4.9686562140240486E-3</v>
      </c>
      <c r="V45" s="289">
        <f t="shared" si="256"/>
        <v>2.5973482372571494E-2</v>
      </c>
      <c r="W45" s="290">
        <f t="shared" si="256"/>
        <v>9.8579155825231513E-3</v>
      </c>
      <c r="X45" s="288">
        <f t="shared" si="256"/>
        <v>1.1303846784765105E-2</v>
      </c>
      <c r="Y45" s="288">
        <f t="shared" si="256"/>
        <v>4.7472823359743354E-3</v>
      </c>
      <c r="Z45" s="289">
        <f t="shared" si="256"/>
        <v>2.5785263911853217E-2</v>
      </c>
      <c r="AA45" s="290">
        <f t="shared" si="256"/>
        <v>9.46640002893466E-3</v>
      </c>
      <c r="AB45" s="288">
        <f t="shared" si="256"/>
        <v>1.2118118041217202E-2</v>
      </c>
      <c r="AC45" s="288">
        <f t="shared" si="256"/>
        <v>4.9355974811605193E-3</v>
      </c>
      <c r="AD45" s="289">
        <f t="shared" si="256"/>
        <v>2.5160517375036631E-2</v>
      </c>
      <c r="AE45" s="290">
        <f t="shared" si="256"/>
        <v>9.6325011325220939E-3</v>
      </c>
      <c r="AF45" s="288">
        <f t="shared" si="256"/>
        <v>1.1549918889086802E-2</v>
      </c>
      <c r="AG45" s="288">
        <f t="shared" si="256"/>
        <v>4.9727984583987873E-3</v>
      </c>
      <c r="AH45" s="289">
        <f t="shared" si="256"/>
        <v>2.4273612019091794E-2</v>
      </c>
      <c r="AI45" s="290">
        <f t="shared" si="256"/>
        <v>9.362337208116054E-3</v>
      </c>
      <c r="AJ45" s="288">
        <f t="shared" si="256"/>
        <v>1.0693392121451763E-2</v>
      </c>
      <c r="AK45" s="288">
        <f t="shared" si="256"/>
        <v>4.593848098334772E-3</v>
      </c>
      <c r="AL45" s="289">
        <f t="shared" si="256"/>
        <v>2.2699797165887572E-2</v>
      </c>
      <c r="AM45" s="290">
        <f t="shared" si="256"/>
        <v>8.6825431482690524E-3</v>
      </c>
      <c r="AN45" s="158">
        <f t="shared" si="225"/>
        <v>1.1667865109105294E-2</v>
      </c>
      <c r="AO45" s="158">
        <f t="shared" si="226"/>
        <v>4.840829210926165E-3</v>
      </c>
      <c r="AP45" s="159">
        <f t="shared" si="227"/>
        <v>2.4307656207315842E-2</v>
      </c>
      <c r="AQ45" s="157">
        <f t="shared" si="228"/>
        <v>9.3083436002308652E-3</v>
      </c>
      <c r="AR45" s="158">
        <f t="shared" si="229"/>
        <v>1.1723450876365324E-2</v>
      </c>
      <c r="AS45" s="158">
        <f t="shared" si="230"/>
        <v>4.8351330653722529E-3</v>
      </c>
      <c r="AT45" s="159">
        <f t="shared" si="231"/>
        <v>2.4246781502784601E-2</v>
      </c>
      <c r="AU45" s="157">
        <f t="shared" si="232"/>
        <v>9.2950549246501972E-3</v>
      </c>
      <c r="AV45" s="158">
        <f t="shared" si="233"/>
        <v>1.1779036643625368E-2</v>
      </c>
      <c r="AW45" s="158">
        <f t="shared" si="234"/>
        <v>4.829436919818339E-3</v>
      </c>
      <c r="AX45" s="159">
        <f t="shared" si="235"/>
        <v>2.4185906798253359E-2</v>
      </c>
      <c r="AY45" s="157">
        <f t="shared" si="236"/>
        <v>9.2817662490695292E-3</v>
      </c>
      <c r="AZ45" s="158">
        <f t="shared" si="237"/>
        <v>1.1834622410885398E-2</v>
      </c>
      <c r="BA45" s="158">
        <f t="shared" si="238"/>
        <v>4.8237407742644269E-3</v>
      </c>
      <c r="BB45" s="159">
        <f t="shared" si="239"/>
        <v>2.4125032093722118E-2</v>
      </c>
      <c r="BC45" s="157">
        <f t="shared" si="240"/>
        <v>9.2684775734888612E-3</v>
      </c>
      <c r="BD45" s="158">
        <f t="shared" si="241"/>
        <v>1.1890208178145442E-2</v>
      </c>
      <c r="BE45" s="158">
        <f t="shared" si="242"/>
        <v>4.8180446287105147E-3</v>
      </c>
      <c r="BF45" s="159">
        <f t="shared" si="243"/>
        <v>2.4064157389190877E-2</v>
      </c>
      <c r="BG45" s="157">
        <f t="shared" si="244"/>
        <v>9.2551888979081967E-3</v>
      </c>
      <c r="BH45" s="158">
        <f t="shared" si="245"/>
        <v>1.1945793945405486E-2</v>
      </c>
      <c r="BI45" s="158">
        <f t="shared" si="246"/>
        <v>4.8123484831566008E-3</v>
      </c>
      <c r="BJ45" s="159">
        <f t="shared" si="247"/>
        <v>2.4003282684659635E-2</v>
      </c>
      <c r="BK45" s="157">
        <f t="shared" si="248"/>
        <v>9.2419002223275287E-3</v>
      </c>
      <c r="BL45" s="158">
        <f t="shared" si="249"/>
        <v>1.2001379712665516E-2</v>
      </c>
      <c r="BM45" s="158">
        <f t="shared" si="250"/>
        <v>4.8066523376026887E-3</v>
      </c>
      <c r="BN45" s="159">
        <f t="shared" si="251"/>
        <v>2.3942407980128394E-2</v>
      </c>
      <c r="BO45" s="157">
        <f t="shared" si="252"/>
        <v>9.2286115467468607E-3</v>
      </c>
    </row>
    <row r="46" spans="1:67" x14ac:dyDescent="0.35">
      <c r="B46" t="str">
        <f t="shared" si="213"/>
        <v>4 IRODAI ÉS ÜGYVITELI (ÜGYFÉLKAPCSOLATI) FOGLALKOZÁSOK</v>
      </c>
      <c r="D46" s="152"/>
      <c r="E46" s="152"/>
      <c r="F46" s="153"/>
      <c r="G46" s="154"/>
      <c r="H46" s="288">
        <f t="shared" si="222"/>
        <v>9.0614095824440386E-3</v>
      </c>
      <c r="I46" s="288">
        <f t="shared" si="222"/>
        <v>2.0508712512031092E-3</v>
      </c>
      <c r="J46" s="289">
        <f t="shared" si="222"/>
        <v>7.8347713789789046E-3</v>
      </c>
      <c r="K46" s="290">
        <f t="shared" si="222"/>
        <v>4.1886464712425873E-3</v>
      </c>
      <c r="L46" s="288">
        <f t="shared" ref="L46:O46" si="257">L9/L$15*L$52</f>
        <v>9.8140002864232183E-3</v>
      </c>
      <c r="M46" s="288">
        <f t="shared" si="257"/>
        <v>1.9920545565731544E-3</v>
      </c>
      <c r="N46" s="289">
        <f t="shared" si="257"/>
        <v>7.7062818143842178E-3</v>
      </c>
      <c r="O46" s="290">
        <f t="shared" si="257"/>
        <v>4.25335110794122E-3</v>
      </c>
      <c r="P46" s="288">
        <f t="shared" ref="P46:AM46" si="258">P9/P$15*P$52</f>
        <v>9.4891134154633013E-3</v>
      </c>
      <c r="Q46" s="288">
        <f t="shared" si="258"/>
        <v>2.1075953778951586E-3</v>
      </c>
      <c r="R46" s="289">
        <f t="shared" si="258"/>
        <v>6.7204198134972826E-3</v>
      </c>
      <c r="S46" s="290">
        <f t="shared" si="258"/>
        <v>4.1313918028144042E-3</v>
      </c>
      <c r="T46" s="288">
        <f t="shared" si="258"/>
        <v>8.9443274702862788E-3</v>
      </c>
      <c r="U46" s="288">
        <f t="shared" si="258"/>
        <v>2.2408513999479483E-3</v>
      </c>
      <c r="V46" s="289">
        <f t="shared" si="258"/>
        <v>7.0193897258668527E-3</v>
      </c>
      <c r="W46" s="290">
        <f t="shared" si="258"/>
        <v>4.1607167540775548E-3</v>
      </c>
      <c r="X46" s="288">
        <f t="shared" si="258"/>
        <v>8.5545310507404194E-3</v>
      </c>
      <c r="Y46" s="288">
        <f t="shared" si="258"/>
        <v>2.1799406763909055E-3</v>
      </c>
      <c r="Z46" s="289">
        <f t="shared" si="258"/>
        <v>7.0622601328892351E-3</v>
      </c>
      <c r="AA46" s="290">
        <f t="shared" si="258"/>
        <v>4.0540168215328258E-3</v>
      </c>
      <c r="AB46" s="288">
        <f t="shared" si="258"/>
        <v>8.3775756148421164E-3</v>
      </c>
      <c r="AC46" s="288">
        <f t="shared" si="258"/>
        <v>2.1696809756312722E-3</v>
      </c>
      <c r="AD46" s="289">
        <f t="shared" si="258"/>
        <v>7.1044610612401972E-3</v>
      </c>
      <c r="AE46" s="290">
        <f t="shared" si="258"/>
        <v>4.030541809040989E-3</v>
      </c>
      <c r="AF46" s="288">
        <f t="shared" si="258"/>
        <v>8.4533617661059525E-3</v>
      </c>
      <c r="AG46" s="288">
        <f t="shared" si="258"/>
        <v>1.9277896828127448E-3</v>
      </c>
      <c r="AH46" s="289">
        <f t="shared" si="258"/>
        <v>6.4625229418571271E-3</v>
      </c>
      <c r="AI46" s="290">
        <f t="shared" si="258"/>
        <v>3.7592207326498017E-3</v>
      </c>
      <c r="AJ46" s="288">
        <f t="shared" si="258"/>
        <v>8.1759466660278387E-3</v>
      </c>
      <c r="AK46" s="288">
        <f t="shared" si="258"/>
        <v>1.9107574789172636E-3</v>
      </c>
      <c r="AL46" s="289">
        <f t="shared" si="258"/>
        <v>7.3094289998503099E-3</v>
      </c>
      <c r="AM46" s="290">
        <f t="shared" si="258"/>
        <v>3.8353475605939617E-3</v>
      </c>
      <c r="AN46" s="158">
        <f t="shared" si="225"/>
        <v>7.9627559366536871E-3</v>
      </c>
      <c r="AO46" s="158">
        <f t="shared" si="226"/>
        <v>2.0094011728597518E-3</v>
      </c>
      <c r="AP46" s="159">
        <f t="shared" si="227"/>
        <v>6.6863064371624203E-3</v>
      </c>
      <c r="AQ46" s="157">
        <f t="shared" si="228"/>
        <v>3.7648865879404692E-3</v>
      </c>
      <c r="AR46" s="158">
        <f t="shared" si="229"/>
        <v>7.7636387600119039E-3</v>
      </c>
      <c r="AS46" s="158">
        <f t="shared" si="230"/>
        <v>1.9953919501793718E-3</v>
      </c>
      <c r="AT46" s="159">
        <f t="shared" si="231"/>
        <v>6.5827207601828197E-3</v>
      </c>
      <c r="AU46" s="157">
        <f t="shared" si="232"/>
        <v>3.7011604669301978E-3</v>
      </c>
      <c r="AV46" s="158">
        <f t="shared" si="233"/>
        <v>7.5645215833701207E-3</v>
      </c>
      <c r="AW46" s="158">
        <f t="shared" si="234"/>
        <v>1.9813827274989954E-3</v>
      </c>
      <c r="AX46" s="159">
        <f t="shared" si="235"/>
        <v>6.4791350832032468E-3</v>
      </c>
      <c r="AY46" s="157">
        <f t="shared" si="236"/>
        <v>3.6374343459199265E-3</v>
      </c>
      <c r="AZ46" s="158">
        <f t="shared" si="237"/>
        <v>7.3654044067283375E-3</v>
      </c>
      <c r="BA46" s="158">
        <f t="shared" si="238"/>
        <v>1.9673735048186189E-3</v>
      </c>
      <c r="BB46" s="159">
        <f t="shared" si="239"/>
        <v>6.3755494062236739E-3</v>
      </c>
      <c r="BC46" s="157">
        <f t="shared" si="240"/>
        <v>3.5737082249096552E-3</v>
      </c>
      <c r="BD46" s="158">
        <f t="shared" si="241"/>
        <v>7.1662872300866098E-3</v>
      </c>
      <c r="BE46" s="158">
        <f t="shared" si="242"/>
        <v>1.9533642821382424E-3</v>
      </c>
      <c r="BF46" s="159">
        <f t="shared" si="243"/>
        <v>6.2719637292441011E-3</v>
      </c>
      <c r="BG46" s="157">
        <f t="shared" si="244"/>
        <v>3.5099821038993839E-3</v>
      </c>
      <c r="BH46" s="158">
        <f t="shared" si="245"/>
        <v>6.9671700534448266E-3</v>
      </c>
      <c r="BI46" s="158">
        <f t="shared" si="246"/>
        <v>1.939355059457866E-3</v>
      </c>
      <c r="BJ46" s="159">
        <f t="shared" si="247"/>
        <v>6.1683780522645282E-3</v>
      </c>
      <c r="BK46" s="157">
        <f t="shared" si="248"/>
        <v>3.4462559828891126E-3</v>
      </c>
      <c r="BL46" s="158">
        <f t="shared" si="249"/>
        <v>6.7680528768030435E-3</v>
      </c>
      <c r="BM46" s="158">
        <f t="shared" si="250"/>
        <v>1.9253458367774895E-3</v>
      </c>
      <c r="BN46" s="159">
        <f t="shared" si="251"/>
        <v>6.0647923752849553E-3</v>
      </c>
      <c r="BO46" s="157">
        <f t="shared" si="252"/>
        <v>3.3825298618788691E-3</v>
      </c>
    </row>
    <row r="47" spans="1:67" x14ac:dyDescent="0.35">
      <c r="B47" t="str">
        <f t="shared" si="213"/>
        <v>5 KERESKEDELMI ÉS SZOLGÁLTATÁSI FOGLALKOZÁSOK</v>
      </c>
      <c r="D47" s="152"/>
      <c r="E47" s="152"/>
      <c r="F47" s="153"/>
      <c r="G47" s="154"/>
      <c r="H47" s="288">
        <f t="shared" si="222"/>
        <v>3.6253676414606507E-3</v>
      </c>
      <c r="I47" s="288">
        <f t="shared" si="222"/>
        <v>1.5307043842204273E-3</v>
      </c>
      <c r="J47" s="289">
        <f t="shared" si="222"/>
        <v>4.1174048430285541E-2</v>
      </c>
      <c r="K47" s="290">
        <f t="shared" si="222"/>
        <v>8.6906590266970715E-3</v>
      </c>
      <c r="L47" s="288">
        <f t="shared" ref="L47:O47" si="259">L10/L$15*L$52</f>
        <v>4.8444021226878714E-3</v>
      </c>
      <c r="M47" s="288">
        <f t="shared" si="259"/>
        <v>1.6009314153890436E-3</v>
      </c>
      <c r="N47" s="289">
        <f t="shared" si="259"/>
        <v>4.2669662590039258E-2</v>
      </c>
      <c r="O47" s="290">
        <f t="shared" si="259"/>
        <v>9.2088693677773031E-3</v>
      </c>
      <c r="P47" s="288">
        <f t="shared" ref="P47:AM47" si="260">P10/P$15*P$52</f>
        <v>5.8332817732104098E-3</v>
      </c>
      <c r="Q47" s="288">
        <f t="shared" si="260"/>
        <v>1.5762215730661133E-3</v>
      </c>
      <c r="R47" s="289">
        <f t="shared" si="260"/>
        <v>4.0239461189776171E-2</v>
      </c>
      <c r="S47" s="290">
        <f t="shared" si="260"/>
        <v>9.3379302153330929E-3</v>
      </c>
      <c r="T47" s="288">
        <f t="shared" si="260"/>
        <v>4.4427639229778493E-3</v>
      </c>
      <c r="U47" s="288">
        <f t="shared" si="260"/>
        <v>1.6573046536137912E-3</v>
      </c>
      <c r="V47" s="289">
        <f t="shared" si="260"/>
        <v>4.0103546821590959E-2</v>
      </c>
      <c r="W47" s="290">
        <f t="shared" si="260"/>
        <v>8.9080175500883263E-3</v>
      </c>
      <c r="X47" s="288">
        <f t="shared" si="260"/>
        <v>4.2919948019781579E-3</v>
      </c>
      <c r="Y47" s="288">
        <f t="shared" si="260"/>
        <v>1.3502864293720269E-3</v>
      </c>
      <c r="Z47" s="289">
        <f t="shared" si="260"/>
        <v>4.0514988835729661E-2</v>
      </c>
      <c r="AA47" s="290">
        <f t="shared" si="260"/>
        <v>8.6486008355886115E-3</v>
      </c>
      <c r="AB47" s="288">
        <f t="shared" si="260"/>
        <v>4.0902608615290105E-3</v>
      </c>
      <c r="AC47" s="288">
        <f t="shared" si="260"/>
        <v>1.5313812319573976E-3</v>
      </c>
      <c r="AD47" s="289">
        <f t="shared" si="260"/>
        <v>3.9446332778406402E-2</v>
      </c>
      <c r="AE47" s="290">
        <f t="shared" si="260"/>
        <v>8.5867141744192989E-3</v>
      </c>
      <c r="AF47" s="288">
        <f t="shared" si="260"/>
        <v>4.0754734857134716E-3</v>
      </c>
      <c r="AG47" s="288">
        <f t="shared" si="260"/>
        <v>1.4468440266099604E-3</v>
      </c>
      <c r="AH47" s="289">
        <f t="shared" si="260"/>
        <v>3.8227519172313179E-2</v>
      </c>
      <c r="AI47" s="290">
        <f t="shared" si="260"/>
        <v>8.220482529983553E-3</v>
      </c>
      <c r="AJ47" s="288">
        <f t="shared" si="260"/>
        <v>3.5989574283283757E-3</v>
      </c>
      <c r="AK47" s="288">
        <f t="shared" si="260"/>
        <v>1.3860421736737838E-3</v>
      </c>
      <c r="AL47" s="289">
        <f t="shared" si="260"/>
        <v>3.6061730239279957E-2</v>
      </c>
      <c r="AM47" s="290">
        <f t="shared" si="260"/>
        <v>7.7142694777493923E-3</v>
      </c>
      <c r="AN47" s="158">
        <f t="shared" si="225"/>
        <v>3.8462406190477583E-3</v>
      </c>
      <c r="AO47" s="158">
        <f t="shared" si="226"/>
        <v>1.3907888610615732E-3</v>
      </c>
      <c r="AP47" s="159">
        <f t="shared" si="227"/>
        <v>3.659225656187548E-2</v>
      </c>
      <c r="AQ47" s="157">
        <f t="shared" si="228"/>
        <v>7.8989218685164841E-3</v>
      </c>
      <c r="AR47" s="158">
        <f t="shared" si="229"/>
        <v>3.7342245888948855E-3</v>
      </c>
      <c r="AS47" s="158">
        <f t="shared" si="230"/>
        <v>1.3643053888557424E-3</v>
      </c>
      <c r="AT47" s="159">
        <f t="shared" si="231"/>
        <v>3.5878388851808385E-2</v>
      </c>
      <c r="AU47" s="157">
        <f t="shared" si="232"/>
        <v>7.7288060843636042E-3</v>
      </c>
      <c r="AV47" s="158">
        <f t="shared" si="233"/>
        <v>3.6222085587420128E-3</v>
      </c>
      <c r="AW47" s="158">
        <f t="shared" si="234"/>
        <v>1.3378219166499117E-3</v>
      </c>
      <c r="AX47" s="159">
        <f t="shared" si="235"/>
        <v>3.516452114174129E-2</v>
      </c>
      <c r="AY47" s="157">
        <f t="shared" si="236"/>
        <v>7.5586903002107242E-3</v>
      </c>
      <c r="AZ47" s="158">
        <f t="shared" si="237"/>
        <v>3.51019252858914E-3</v>
      </c>
      <c r="BA47" s="158">
        <f t="shared" si="238"/>
        <v>1.3113384444440809E-3</v>
      </c>
      <c r="BB47" s="159">
        <f t="shared" si="239"/>
        <v>3.4450653431674194E-2</v>
      </c>
      <c r="BC47" s="157">
        <f t="shared" si="240"/>
        <v>7.3885745160577887E-3</v>
      </c>
      <c r="BD47" s="158">
        <f t="shared" si="241"/>
        <v>3.3981764984362395E-3</v>
      </c>
      <c r="BE47" s="158">
        <f t="shared" si="242"/>
        <v>1.2848549722382502E-3</v>
      </c>
      <c r="BF47" s="159">
        <f t="shared" si="243"/>
        <v>3.3736785721606877E-2</v>
      </c>
      <c r="BG47" s="157">
        <f t="shared" si="244"/>
        <v>7.2184587319049087E-3</v>
      </c>
      <c r="BH47" s="158">
        <f t="shared" si="245"/>
        <v>3.2861604682833667E-3</v>
      </c>
      <c r="BI47" s="158">
        <f t="shared" si="246"/>
        <v>1.2583715000324194E-3</v>
      </c>
      <c r="BJ47" s="159">
        <f t="shared" si="247"/>
        <v>3.3022918011539781E-2</v>
      </c>
      <c r="BK47" s="157">
        <f t="shared" si="248"/>
        <v>7.0483429477520287E-3</v>
      </c>
      <c r="BL47" s="158">
        <f t="shared" si="249"/>
        <v>3.174144438130494E-3</v>
      </c>
      <c r="BM47" s="158">
        <f t="shared" si="250"/>
        <v>1.2318880278265887E-3</v>
      </c>
      <c r="BN47" s="159">
        <f t="shared" si="251"/>
        <v>3.2309050301472686E-2</v>
      </c>
      <c r="BO47" s="157">
        <f t="shared" si="252"/>
        <v>6.8782271635990933E-3</v>
      </c>
    </row>
    <row r="48" spans="1:67" x14ac:dyDescent="0.35">
      <c r="B48" t="str">
        <f t="shared" si="213"/>
        <v>6 MEZŐGAZDASÁGI ÉS ERDŐGAZDÁLKODÁSI FOGLALKOZÁSOK</v>
      </c>
      <c r="D48" s="152"/>
      <c r="E48" s="152"/>
      <c r="F48" s="153"/>
      <c r="G48" s="154"/>
      <c r="H48" s="288">
        <f t="shared" si="222"/>
        <v>8.1226761040422823E-3</v>
      </c>
      <c r="I48" s="288">
        <f t="shared" si="222"/>
        <v>2.8027212994339971E-4</v>
      </c>
      <c r="J48" s="289">
        <f t="shared" si="222"/>
        <v>4.3530539106351174E-4</v>
      </c>
      <c r="K48" s="290">
        <f t="shared" si="222"/>
        <v>1.5855362826033511E-3</v>
      </c>
      <c r="L48" s="288">
        <f t="shared" ref="L48:O48" si="261">L11/L$15*L$52</f>
        <v>8.8110626263444482E-3</v>
      </c>
      <c r="M48" s="288">
        <f t="shared" si="261"/>
        <v>2.7279896299379391E-4</v>
      </c>
      <c r="N48" s="289">
        <f t="shared" si="261"/>
        <v>5.9365279267522067E-4</v>
      </c>
      <c r="O48" s="290">
        <f t="shared" si="261"/>
        <v>1.7213740888795028E-3</v>
      </c>
      <c r="P48" s="288">
        <f t="shared" ref="P48:AM48" si="262">P11/P$15*P$52</f>
        <v>7.5612219558697184E-3</v>
      </c>
      <c r="Q48" s="288">
        <f t="shared" si="262"/>
        <v>3.0106744296434079E-4</v>
      </c>
      <c r="R48" s="289">
        <f t="shared" si="262"/>
        <v>3.8601039875359834E-4</v>
      </c>
      <c r="S48" s="290">
        <f t="shared" si="262"/>
        <v>1.4761231534591288E-3</v>
      </c>
      <c r="T48" s="288">
        <f t="shared" si="262"/>
        <v>7.323851285009066E-3</v>
      </c>
      <c r="U48" s="288">
        <f t="shared" si="262"/>
        <v>2.7588331439026517E-4</v>
      </c>
      <c r="V48" s="289">
        <f t="shared" si="262"/>
        <v>2.4450729179530855E-4</v>
      </c>
      <c r="W48" s="290">
        <f t="shared" si="262"/>
        <v>1.3996693377736154E-3</v>
      </c>
      <c r="X48" s="288">
        <f t="shared" si="262"/>
        <v>7.791653016091654E-3</v>
      </c>
      <c r="Y48" s="288">
        <f t="shared" si="262"/>
        <v>2.236866930613095E-4</v>
      </c>
      <c r="Z48" s="289">
        <f t="shared" si="262"/>
        <v>3.3071878523582317E-4</v>
      </c>
      <c r="AA48" s="290">
        <f t="shared" si="262"/>
        <v>1.4569949287982955E-3</v>
      </c>
      <c r="AB48" s="288">
        <f t="shared" si="262"/>
        <v>8.990409736773123E-3</v>
      </c>
      <c r="AC48" s="288">
        <f t="shared" si="262"/>
        <v>2.1959159275514737E-4</v>
      </c>
      <c r="AD48" s="289">
        <f t="shared" si="262"/>
        <v>3.7323122039983273E-4</v>
      </c>
      <c r="AE48" s="290">
        <f t="shared" si="262"/>
        <v>1.6537393032182389E-3</v>
      </c>
      <c r="AF48" s="288">
        <f t="shared" si="262"/>
        <v>8.4369795995469597E-3</v>
      </c>
      <c r="AG48" s="288">
        <f t="shared" si="262"/>
        <v>1.928520033285944E-4</v>
      </c>
      <c r="AH48" s="289">
        <f t="shared" si="262"/>
        <v>4.0419822038854995E-4</v>
      </c>
      <c r="AI48" s="290">
        <f t="shared" si="262"/>
        <v>1.5538098324921167E-3</v>
      </c>
      <c r="AJ48" s="288">
        <f t="shared" si="262"/>
        <v>8.1979371755353057E-3</v>
      </c>
      <c r="AK48" s="288">
        <f t="shared" si="262"/>
        <v>2.8652947357032401E-4</v>
      </c>
      <c r="AL48" s="289">
        <f t="shared" si="262"/>
        <v>2.9607214030501905E-4</v>
      </c>
      <c r="AM48" s="290">
        <f t="shared" si="262"/>
        <v>1.543363623968485E-3</v>
      </c>
      <c r="AN48" s="158">
        <f t="shared" si="225"/>
        <v>8.3372477288438801E-3</v>
      </c>
      <c r="AO48" s="158">
        <f t="shared" si="226"/>
        <v>2.2162676064942793E-4</v>
      </c>
      <c r="AP48" s="159">
        <f t="shared" si="227"/>
        <v>2.8256747695048351E-4</v>
      </c>
      <c r="AQ48" s="157">
        <f t="shared" si="228"/>
        <v>1.5197447553948612E-3</v>
      </c>
      <c r="AR48" s="158">
        <f t="shared" si="229"/>
        <v>8.3778641269421639E-3</v>
      </c>
      <c r="AS48" s="158">
        <f t="shared" si="230"/>
        <v>2.1385821821021458E-4</v>
      </c>
      <c r="AT48" s="159">
        <f t="shared" si="231"/>
        <v>2.6025757625568191E-4</v>
      </c>
      <c r="AU48" s="157">
        <f t="shared" si="232"/>
        <v>1.5132821857272542E-3</v>
      </c>
      <c r="AV48" s="158">
        <f t="shared" si="233"/>
        <v>8.4184805250404615E-3</v>
      </c>
      <c r="AW48" s="158">
        <f t="shared" si="234"/>
        <v>2.0608967577099777E-4</v>
      </c>
      <c r="AX48" s="159">
        <f t="shared" si="235"/>
        <v>2.3794767556088031E-4</v>
      </c>
      <c r="AY48" s="157">
        <f t="shared" si="236"/>
        <v>1.5068196160596473E-3</v>
      </c>
      <c r="AZ48" s="158">
        <f t="shared" si="237"/>
        <v>8.4590969231387592E-3</v>
      </c>
      <c r="BA48" s="158">
        <f t="shared" si="238"/>
        <v>1.9832113333178442E-4</v>
      </c>
      <c r="BB48" s="159">
        <f t="shared" si="239"/>
        <v>2.1563777486607177E-4</v>
      </c>
      <c r="BC48" s="157">
        <f t="shared" si="240"/>
        <v>1.500357046392042E-3</v>
      </c>
      <c r="BD48" s="158">
        <f t="shared" si="241"/>
        <v>8.4997133212370429E-3</v>
      </c>
      <c r="BE48" s="158">
        <f t="shared" si="242"/>
        <v>1.905525908925676E-4</v>
      </c>
      <c r="BF48" s="159">
        <f t="shared" si="243"/>
        <v>1.9332787417127018E-4</v>
      </c>
      <c r="BG48" s="157">
        <f t="shared" si="244"/>
        <v>1.4938944767244351E-3</v>
      </c>
      <c r="BH48" s="158">
        <f t="shared" si="245"/>
        <v>8.5403297193353406E-3</v>
      </c>
      <c r="BI48" s="158">
        <f t="shared" si="246"/>
        <v>1.8278404845335425E-4</v>
      </c>
      <c r="BJ48" s="159">
        <f t="shared" si="247"/>
        <v>1.7101797347646164E-4</v>
      </c>
      <c r="BK48" s="157">
        <f t="shared" si="248"/>
        <v>1.4874319070568281E-3</v>
      </c>
      <c r="BL48" s="158">
        <f t="shared" si="249"/>
        <v>8.5809461174336243E-3</v>
      </c>
      <c r="BM48" s="158">
        <f t="shared" si="250"/>
        <v>1.7501550601413743E-4</v>
      </c>
      <c r="BN48" s="159">
        <f t="shared" si="251"/>
        <v>1.4870807278166004E-4</v>
      </c>
      <c r="BO48" s="157">
        <f t="shared" si="252"/>
        <v>1.4809693373892211E-3</v>
      </c>
    </row>
    <row r="49" spans="2:69" x14ac:dyDescent="0.35">
      <c r="B49" t="str">
        <f t="shared" si="213"/>
        <v>7 IPARI ÉS ÉPÍTŐIPARI FOGLALKOZÁSOK</v>
      </c>
      <c r="D49" s="152"/>
      <c r="E49" s="152"/>
      <c r="F49" s="153"/>
      <c r="G49" s="154"/>
      <c r="H49" s="288">
        <f t="shared" si="222"/>
        <v>3.7890000826499479E-3</v>
      </c>
      <c r="I49" s="288">
        <f t="shared" si="222"/>
        <v>1.063574783012905E-2</v>
      </c>
      <c r="J49" s="289">
        <f t="shared" si="222"/>
        <v>3.5215380698601201E-3</v>
      </c>
      <c r="K49" s="290">
        <f t="shared" si="222"/>
        <v>8.2958701806858173E-3</v>
      </c>
      <c r="L49" s="288">
        <f t="shared" ref="L49:O49" si="263">L12/L$15*L$52</f>
        <v>4.3342282554194034E-3</v>
      </c>
      <c r="M49" s="288">
        <f t="shared" si="263"/>
        <v>1.0146094106958402E-2</v>
      </c>
      <c r="N49" s="289">
        <f t="shared" si="263"/>
        <v>3.9775940897463901E-3</v>
      </c>
      <c r="O49" s="290">
        <f t="shared" si="263"/>
        <v>8.1345028709220307E-3</v>
      </c>
      <c r="P49" s="288">
        <f t="shared" ref="P49:AM49" si="264">P12/P$15*P$52</f>
        <v>4.6859205646225636E-3</v>
      </c>
      <c r="Q49" s="288">
        <f t="shared" si="264"/>
        <v>1.0283779416954103E-2</v>
      </c>
      <c r="R49" s="289">
        <f t="shared" si="264"/>
        <v>3.9423655986360858E-3</v>
      </c>
      <c r="S49" s="290">
        <f t="shared" si="264"/>
        <v>8.2282253217454537E-3</v>
      </c>
      <c r="T49" s="288">
        <f t="shared" si="264"/>
        <v>4.258355485774413E-3</v>
      </c>
      <c r="U49" s="288">
        <f t="shared" si="264"/>
        <v>1.0055411445537704E-2</v>
      </c>
      <c r="V49" s="289">
        <f t="shared" si="264"/>
        <v>4.1943323425766054E-3</v>
      </c>
      <c r="W49" s="290">
        <f t="shared" si="264"/>
        <v>8.0891946049922274E-3</v>
      </c>
      <c r="X49" s="288">
        <f t="shared" si="264"/>
        <v>4.37678887460872E-3</v>
      </c>
      <c r="Y49" s="288">
        <f t="shared" si="264"/>
        <v>9.7835815330433399E-3</v>
      </c>
      <c r="Z49" s="289">
        <f t="shared" si="264"/>
        <v>4.0051520799875614E-3</v>
      </c>
      <c r="AA49" s="290">
        <f t="shared" si="264"/>
        <v>7.9086496412295853E-3</v>
      </c>
      <c r="AB49" s="288">
        <f t="shared" si="264"/>
        <v>4.098529465645393E-3</v>
      </c>
      <c r="AC49" s="288">
        <f t="shared" si="264"/>
        <v>9.4708386647887992E-3</v>
      </c>
      <c r="AD49" s="289">
        <f t="shared" si="264"/>
        <v>3.6915149399409587E-3</v>
      </c>
      <c r="AE49" s="290">
        <f t="shared" si="264"/>
        <v>7.5960318437157332E-3</v>
      </c>
      <c r="AF49" s="288">
        <f t="shared" si="264"/>
        <v>3.7956660808858714E-3</v>
      </c>
      <c r="AG49" s="288">
        <f t="shared" si="264"/>
        <v>9.4397206484961183E-3</v>
      </c>
      <c r="AH49" s="289">
        <f t="shared" si="264"/>
        <v>3.7849383506859185E-3</v>
      </c>
      <c r="AI49" s="290">
        <f t="shared" si="264"/>
        <v>7.5564984627890779E-3</v>
      </c>
      <c r="AJ49" s="288">
        <f t="shared" si="264"/>
        <v>3.82081203665725E-3</v>
      </c>
      <c r="AK49" s="288">
        <f t="shared" si="264"/>
        <v>9.1312891164146252E-3</v>
      </c>
      <c r="AL49" s="289">
        <f t="shared" si="264"/>
        <v>3.8668815900443397E-3</v>
      </c>
      <c r="AM49" s="290">
        <f t="shared" si="264"/>
        <v>7.3813128951877079E-3</v>
      </c>
      <c r="AN49" s="158">
        <f t="shared" si="225"/>
        <v>3.9245268681375733E-3</v>
      </c>
      <c r="AO49" s="158">
        <f t="shared" si="226"/>
        <v>8.9697151422204469E-3</v>
      </c>
      <c r="AP49" s="159">
        <f t="shared" si="227"/>
        <v>3.9004892955765008E-3</v>
      </c>
      <c r="AQ49" s="157">
        <f t="shared" si="228"/>
        <v>7.2897295613904012E-3</v>
      </c>
      <c r="AR49" s="158">
        <f t="shared" si="229"/>
        <v>3.8755522597719305E-3</v>
      </c>
      <c r="AS49" s="158">
        <f t="shared" si="230"/>
        <v>8.7700278748716332E-3</v>
      </c>
      <c r="AT49" s="159">
        <f t="shared" si="231"/>
        <v>3.9065892206635571E-3</v>
      </c>
      <c r="AU49" s="157">
        <f t="shared" si="232"/>
        <v>7.1543837466641613E-3</v>
      </c>
      <c r="AV49" s="158">
        <f t="shared" si="233"/>
        <v>3.8265776514062877E-3</v>
      </c>
      <c r="AW49" s="158">
        <f t="shared" si="234"/>
        <v>8.5703406075227639E-3</v>
      </c>
      <c r="AX49" s="159">
        <f t="shared" si="235"/>
        <v>3.9126891457506134E-3</v>
      </c>
      <c r="AY49" s="157">
        <f t="shared" si="236"/>
        <v>7.0190379319379215E-3</v>
      </c>
      <c r="AZ49" s="158">
        <f t="shared" si="237"/>
        <v>3.7776030430406587E-3</v>
      </c>
      <c r="BA49" s="158">
        <f t="shared" si="238"/>
        <v>8.3706533401739502E-3</v>
      </c>
      <c r="BB49" s="159">
        <f t="shared" si="239"/>
        <v>3.9187890708376697E-3</v>
      </c>
      <c r="BC49" s="157">
        <f t="shared" si="240"/>
        <v>6.8836921172116816E-3</v>
      </c>
      <c r="BD49" s="158">
        <f t="shared" si="241"/>
        <v>3.7286284346750159E-3</v>
      </c>
      <c r="BE49" s="158">
        <f t="shared" si="242"/>
        <v>8.170966072825081E-3</v>
      </c>
      <c r="BF49" s="159">
        <f t="shared" si="243"/>
        <v>3.9248889959247277E-3</v>
      </c>
      <c r="BG49" s="157">
        <f t="shared" si="244"/>
        <v>6.7483463024854973E-3</v>
      </c>
      <c r="BH49" s="158">
        <f t="shared" si="245"/>
        <v>3.6796538263093731E-3</v>
      </c>
      <c r="BI49" s="158">
        <f t="shared" si="246"/>
        <v>7.9712788054762673E-3</v>
      </c>
      <c r="BJ49" s="159">
        <f t="shared" si="247"/>
        <v>3.930988921011784E-3</v>
      </c>
      <c r="BK49" s="157">
        <f t="shared" si="248"/>
        <v>6.6130004877592574E-3</v>
      </c>
      <c r="BL49" s="158">
        <f t="shared" si="249"/>
        <v>3.6306792179437303E-3</v>
      </c>
      <c r="BM49" s="158">
        <f t="shared" si="250"/>
        <v>7.7715915381273981E-3</v>
      </c>
      <c r="BN49" s="159">
        <f t="shared" si="251"/>
        <v>3.9370888460988403E-3</v>
      </c>
      <c r="BO49" s="157">
        <f t="shared" si="252"/>
        <v>6.4776546730330176E-3</v>
      </c>
    </row>
    <row r="50" spans="2:69" x14ac:dyDescent="0.35">
      <c r="B50" t="str">
        <f t="shared" si="213"/>
        <v>8 GÉPKEZELŐK, ÖSSZESZERELŐK, JÁRMŰVEZETŐK</v>
      </c>
      <c r="D50" s="152"/>
      <c r="E50" s="152"/>
      <c r="F50" s="153"/>
      <c r="G50" s="154"/>
      <c r="H50" s="288">
        <f t="shared" si="222"/>
        <v>4.6913707963429727E-3</v>
      </c>
      <c r="I50" s="288">
        <f t="shared" si="222"/>
        <v>9.8851881692367579E-3</v>
      </c>
      <c r="J50" s="289">
        <f t="shared" si="222"/>
        <v>2.6133743742302222E-3</v>
      </c>
      <c r="K50" s="290">
        <f t="shared" si="222"/>
        <v>7.7876916752076661E-3</v>
      </c>
      <c r="L50" s="288">
        <f t="shared" ref="L50:O50" si="265">L13/L$15*L$52</f>
        <v>5.1034992420119071E-3</v>
      </c>
      <c r="M50" s="288">
        <f t="shared" si="265"/>
        <v>1.0016576451903146E-2</v>
      </c>
      <c r="N50" s="289">
        <f t="shared" si="265"/>
        <v>2.6858367261807484E-3</v>
      </c>
      <c r="O50" s="290">
        <f t="shared" si="265"/>
        <v>7.9513239737474765E-3</v>
      </c>
      <c r="P50" s="288">
        <f t="shared" ref="P50:AM50" si="266">P13/P$15*P$52</f>
        <v>5.8479915322948691E-3</v>
      </c>
      <c r="Q50" s="288">
        <f t="shared" si="266"/>
        <v>1.034743973451482E-2</v>
      </c>
      <c r="R50" s="289">
        <f t="shared" si="266"/>
        <v>2.7516066646257878E-3</v>
      </c>
      <c r="S50" s="290">
        <f t="shared" si="266"/>
        <v>8.2375413148223081E-3</v>
      </c>
      <c r="T50" s="288">
        <f t="shared" si="266"/>
        <v>5.8139070858532777E-3</v>
      </c>
      <c r="U50" s="288">
        <f t="shared" si="266"/>
        <v>1.0083159247100654E-2</v>
      </c>
      <c r="V50" s="289">
        <f t="shared" si="266"/>
        <v>2.3560913738698668E-3</v>
      </c>
      <c r="W50" s="290">
        <f t="shared" si="266"/>
        <v>8.0315010318184835E-3</v>
      </c>
      <c r="X50" s="288">
        <f t="shared" si="266"/>
        <v>5.8358378857121963E-3</v>
      </c>
      <c r="Y50" s="288">
        <f t="shared" si="266"/>
        <v>9.5703727273815601E-3</v>
      </c>
      <c r="Z50" s="289">
        <f t="shared" si="266"/>
        <v>1.9713675981558954E-3</v>
      </c>
      <c r="AA50" s="290">
        <f t="shared" si="266"/>
        <v>7.6465216180574783E-3</v>
      </c>
      <c r="AB50" s="288">
        <f t="shared" si="266"/>
        <v>5.4912235126583255E-3</v>
      </c>
      <c r="AC50" s="288">
        <f t="shared" si="266"/>
        <v>1.0358938034799012E-2</v>
      </c>
      <c r="AD50" s="289">
        <f t="shared" si="266"/>
        <v>2.1270354819285086E-3</v>
      </c>
      <c r="AE50" s="290">
        <f t="shared" si="266"/>
        <v>8.1352639984024842E-3</v>
      </c>
      <c r="AF50" s="288">
        <f t="shared" si="266"/>
        <v>5.3948931803747633E-3</v>
      </c>
      <c r="AG50" s="288">
        <f t="shared" si="266"/>
        <v>1.0245336698838998E-2</v>
      </c>
      <c r="AH50" s="289">
        <f t="shared" si="266"/>
        <v>1.9649794707237481E-3</v>
      </c>
      <c r="AI50" s="290">
        <f t="shared" si="266"/>
        <v>8.0362245497457852E-3</v>
      </c>
      <c r="AJ50" s="288">
        <f t="shared" si="266"/>
        <v>5.1053853101200109E-3</v>
      </c>
      <c r="AK50" s="288">
        <f t="shared" si="266"/>
        <v>1.0061802505249406E-2</v>
      </c>
      <c r="AL50" s="289">
        <f t="shared" si="266"/>
        <v>2.2724703113205353E-3</v>
      </c>
      <c r="AM50" s="290">
        <f t="shared" si="266"/>
        <v>7.932772235055497E-3</v>
      </c>
      <c r="AN50" s="158">
        <f t="shared" si="225"/>
        <v>5.5876581054497693E-3</v>
      </c>
      <c r="AO50" s="158">
        <f t="shared" si="226"/>
        <v>1.0172984372979893E-2</v>
      </c>
      <c r="AP50" s="159">
        <f t="shared" si="227"/>
        <v>1.9009317479084242E-3</v>
      </c>
      <c r="AQ50" s="157">
        <f t="shared" si="228"/>
        <v>8.0099401622449606E-3</v>
      </c>
      <c r="AR50" s="158">
        <f t="shared" si="229"/>
        <v>5.6270235581783734E-3</v>
      </c>
      <c r="AS50" s="158">
        <f t="shared" si="230"/>
        <v>1.019562496783586E-2</v>
      </c>
      <c r="AT50" s="159">
        <f t="shared" si="231"/>
        <v>1.8027287474148557E-3</v>
      </c>
      <c r="AU50" s="157">
        <f t="shared" si="232"/>
        <v>8.0188479650533627E-3</v>
      </c>
      <c r="AV50" s="158">
        <f t="shared" si="233"/>
        <v>5.6663890109069776E-3</v>
      </c>
      <c r="AW50" s="158">
        <f t="shared" si="234"/>
        <v>1.0218265562691828E-2</v>
      </c>
      <c r="AX50" s="159">
        <f t="shared" si="235"/>
        <v>1.7045257469213149E-3</v>
      </c>
      <c r="AY50" s="157">
        <f t="shared" si="236"/>
        <v>8.0277557678617682E-3</v>
      </c>
      <c r="AZ50" s="158">
        <f t="shared" si="237"/>
        <v>5.7057544636355817E-3</v>
      </c>
      <c r="BA50" s="158">
        <f t="shared" si="238"/>
        <v>1.0240906157547795E-2</v>
      </c>
      <c r="BB50" s="159">
        <f t="shared" si="239"/>
        <v>1.6063227464277463E-3</v>
      </c>
      <c r="BC50" s="157">
        <f t="shared" si="240"/>
        <v>8.0366635706701703E-3</v>
      </c>
      <c r="BD50" s="158">
        <f t="shared" si="241"/>
        <v>5.7451199163641858E-3</v>
      </c>
      <c r="BE50" s="158">
        <f t="shared" si="242"/>
        <v>1.0263546752403763E-2</v>
      </c>
      <c r="BF50" s="159">
        <f t="shared" si="243"/>
        <v>1.5081197459342055E-3</v>
      </c>
      <c r="BG50" s="157">
        <f t="shared" si="244"/>
        <v>8.0455713734785758E-3</v>
      </c>
      <c r="BH50" s="158">
        <f t="shared" si="245"/>
        <v>5.78448536909279E-3</v>
      </c>
      <c r="BI50" s="158">
        <f t="shared" si="246"/>
        <v>1.028618734725973E-2</v>
      </c>
      <c r="BJ50" s="159">
        <f t="shared" si="247"/>
        <v>1.4099167454406369E-3</v>
      </c>
      <c r="BK50" s="157">
        <f t="shared" si="248"/>
        <v>8.0544791762869779E-3</v>
      </c>
      <c r="BL50" s="158">
        <f t="shared" si="249"/>
        <v>5.8238508218213941E-3</v>
      </c>
      <c r="BM50" s="158">
        <f t="shared" si="250"/>
        <v>1.0308827942115698E-2</v>
      </c>
      <c r="BN50" s="159">
        <f t="shared" si="251"/>
        <v>1.3117137449470961E-3</v>
      </c>
      <c r="BO50" s="157">
        <f t="shared" si="252"/>
        <v>8.0633869790953799E-3</v>
      </c>
    </row>
    <row r="51" spans="2:69" x14ac:dyDescent="0.35">
      <c r="B51" t="str">
        <f t="shared" si="213"/>
        <v>9 SZAKKÉPZETTSÉGET NEM IGÉNYLŐ (EGYSZERŰ) FOGLALKOZÁSOK</v>
      </c>
      <c r="D51" s="152"/>
      <c r="E51" s="152"/>
      <c r="F51" s="153"/>
      <c r="G51" s="155"/>
      <c r="H51" s="288">
        <f t="shared" si="222"/>
        <v>5.285614924872525E-3</v>
      </c>
      <c r="I51" s="288">
        <f t="shared" si="222"/>
        <v>2.8095486215345771E-3</v>
      </c>
      <c r="J51" s="289">
        <f t="shared" si="222"/>
        <v>1.167423930832592E-2</v>
      </c>
      <c r="K51" s="290">
        <f t="shared" si="222"/>
        <v>4.7379185874851567E-3</v>
      </c>
      <c r="L51" s="288">
        <f t="shared" ref="L51:O51" si="267">L14/L$15*L$52</f>
        <v>5.6009578863614896E-3</v>
      </c>
      <c r="M51" s="288">
        <f t="shared" si="267"/>
        <v>2.6049814861067145E-3</v>
      </c>
      <c r="N51" s="289">
        <f t="shared" si="267"/>
        <v>1.196732173136175E-2</v>
      </c>
      <c r="O51" s="290">
        <f t="shared" si="267"/>
        <v>4.7075715692717632E-3</v>
      </c>
      <c r="P51" s="288">
        <f t="shared" ref="P51:AM51" si="268">P14/P$15*P$52</f>
        <v>6.6627092923451777E-3</v>
      </c>
      <c r="Q51" s="288">
        <f t="shared" si="268"/>
        <v>2.5408159200560327E-3</v>
      </c>
      <c r="R51" s="289">
        <f t="shared" si="268"/>
        <v>1.0575305053662399E-2</v>
      </c>
      <c r="S51" s="290">
        <f t="shared" si="268"/>
        <v>4.670763499373556E-3</v>
      </c>
      <c r="T51" s="288">
        <f t="shared" si="268"/>
        <v>6.7392473277223391E-3</v>
      </c>
      <c r="U51" s="288">
        <f t="shared" si="268"/>
        <v>2.4467501113814094E-3</v>
      </c>
      <c r="V51" s="289">
        <f t="shared" si="268"/>
        <v>9.6771481561875941E-3</v>
      </c>
      <c r="W51" s="290">
        <f t="shared" si="268"/>
        <v>4.4142302567174857E-3</v>
      </c>
      <c r="X51" s="288">
        <f t="shared" si="268"/>
        <v>6.290520357536895E-3</v>
      </c>
      <c r="Y51" s="288">
        <f t="shared" si="268"/>
        <v>2.3407384411634883E-3</v>
      </c>
      <c r="Z51" s="289">
        <f t="shared" si="268"/>
        <v>9.3628623631684515E-3</v>
      </c>
      <c r="AA51" s="290">
        <f t="shared" si="268"/>
        <v>4.1985896237867392E-3</v>
      </c>
      <c r="AB51" s="288">
        <f t="shared" si="268"/>
        <v>5.9819434074810801E-3</v>
      </c>
      <c r="AC51" s="288">
        <f t="shared" si="268"/>
        <v>2.2847742142235021E-3</v>
      </c>
      <c r="AD51" s="289">
        <f t="shared" si="268"/>
        <v>1.0531670288528243E-2</v>
      </c>
      <c r="AE51" s="290">
        <f t="shared" si="268"/>
        <v>4.3232694318343715E-3</v>
      </c>
      <c r="AF51" s="288">
        <f t="shared" si="268"/>
        <v>5.6286666971715931E-3</v>
      </c>
      <c r="AG51" s="288">
        <f t="shared" si="268"/>
        <v>2.4044519321862246E-3</v>
      </c>
      <c r="AH51" s="289">
        <f t="shared" si="268"/>
        <v>1.0540017281998482E-2</v>
      </c>
      <c r="AI51" s="290">
        <f t="shared" si="268"/>
        <v>4.3272990606660977E-3</v>
      </c>
      <c r="AJ51" s="288">
        <f t="shared" si="268"/>
        <v>5.3273958795092219E-3</v>
      </c>
      <c r="AK51" s="288">
        <f t="shared" si="268"/>
        <v>2.4150182822715821E-3</v>
      </c>
      <c r="AL51" s="289">
        <f t="shared" si="268"/>
        <v>9.3176952994222934E-3</v>
      </c>
      <c r="AM51" s="290">
        <f t="shared" si="268"/>
        <v>4.0669152016391107E-3</v>
      </c>
      <c r="AN51" s="158">
        <f t="shared" si="225"/>
        <v>5.829274084753415E-3</v>
      </c>
      <c r="AO51" s="158">
        <f t="shared" si="226"/>
        <v>2.2323939690355038E-3</v>
      </c>
      <c r="AP51" s="159">
        <f t="shared" si="227"/>
        <v>9.1659152711767167E-3</v>
      </c>
      <c r="AQ51" s="157">
        <f t="shared" si="228"/>
        <v>4.0099352388736076E-3</v>
      </c>
      <c r="AR51" s="158">
        <f t="shared" si="229"/>
        <v>5.8047501098930504E-3</v>
      </c>
      <c r="AS51" s="158">
        <f t="shared" si="230"/>
        <v>2.1771737674621816E-3</v>
      </c>
      <c r="AT51" s="159">
        <f t="shared" si="231"/>
        <v>8.8792781235866869E-3</v>
      </c>
      <c r="AU51" s="157">
        <f t="shared" si="232"/>
        <v>3.9164053688795775E-3</v>
      </c>
      <c r="AV51" s="158">
        <f t="shared" si="233"/>
        <v>5.7802261350326928E-3</v>
      </c>
      <c r="AW51" s="158">
        <f t="shared" si="234"/>
        <v>2.1219535658888594E-3</v>
      </c>
      <c r="AX51" s="159">
        <f t="shared" si="235"/>
        <v>8.5926409759965461E-3</v>
      </c>
      <c r="AY51" s="157">
        <f t="shared" si="236"/>
        <v>3.8228754988855473E-3</v>
      </c>
      <c r="AZ51" s="158">
        <f t="shared" si="237"/>
        <v>5.7557021601723282E-3</v>
      </c>
      <c r="BA51" s="158">
        <f t="shared" si="238"/>
        <v>2.0667333643155372E-3</v>
      </c>
      <c r="BB51" s="159">
        <f t="shared" si="239"/>
        <v>8.3060038284065163E-3</v>
      </c>
      <c r="BC51" s="157">
        <f t="shared" si="240"/>
        <v>3.7293456288915172E-3</v>
      </c>
      <c r="BD51" s="158">
        <f t="shared" si="241"/>
        <v>5.7311781853119706E-3</v>
      </c>
      <c r="BE51" s="158">
        <f t="shared" si="242"/>
        <v>2.011513162742215E-3</v>
      </c>
      <c r="BF51" s="159">
        <f t="shared" si="243"/>
        <v>8.0193666808164865E-3</v>
      </c>
      <c r="BG51" s="157">
        <f t="shared" si="244"/>
        <v>3.6358157588974593E-3</v>
      </c>
      <c r="BH51" s="158">
        <f t="shared" si="245"/>
        <v>5.706654210451606E-3</v>
      </c>
      <c r="BI51" s="158">
        <f t="shared" si="246"/>
        <v>1.9562929611688928E-3</v>
      </c>
      <c r="BJ51" s="159">
        <f t="shared" si="247"/>
        <v>7.7327295332264567E-3</v>
      </c>
      <c r="BK51" s="157">
        <f t="shared" si="248"/>
        <v>3.5422858889034292E-3</v>
      </c>
      <c r="BL51" s="158">
        <f t="shared" si="249"/>
        <v>5.6821302355912484E-3</v>
      </c>
      <c r="BM51" s="158">
        <f t="shared" si="250"/>
        <v>1.9010727595955706E-3</v>
      </c>
      <c r="BN51" s="159">
        <f t="shared" si="251"/>
        <v>7.4460923856364269E-3</v>
      </c>
      <c r="BO51" s="157">
        <f t="shared" si="252"/>
        <v>3.4487560189093991E-3</v>
      </c>
    </row>
    <row r="52" spans="2:69" ht="27" customHeight="1" x14ac:dyDescent="0.35">
      <c r="B52" t="str">
        <f t="shared" si="213"/>
        <v>Összesen</v>
      </c>
      <c r="D52" s="152" t="s">
        <v>125</v>
      </c>
      <c r="E52" s="152"/>
      <c r="F52" s="153"/>
      <c r="G52" s="109" t="s">
        <v>129</v>
      </c>
      <c r="H52" s="291">
        <f>H15/H31</f>
        <v>5.8121860344494056E-2</v>
      </c>
      <c r="I52" s="291">
        <f t="shared" ref="I52:J52" si="269">I15/I31</f>
        <v>3.6921665226589462E-2</v>
      </c>
      <c r="J52" s="291">
        <f t="shared" si="269"/>
        <v>0.13256559438100896</v>
      </c>
      <c r="K52" s="291">
        <f>K15/K31</f>
        <v>5.6828329364165882E-2</v>
      </c>
      <c r="L52" s="291">
        <f>L15/L31</f>
        <v>6.2532488221002575E-2</v>
      </c>
      <c r="M52" s="291">
        <f t="shared" ref="M52:N52" si="270">M15/M31</f>
        <v>3.6936431925684757E-2</v>
      </c>
      <c r="N52" s="291">
        <f t="shared" si="270"/>
        <v>0.13672404411630731</v>
      </c>
      <c r="O52" s="291">
        <f>O15/O31</f>
        <v>5.8312736319592454E-2</v>
      </c>
      <c r="P52" s="291">
        <f>P15/P31</f>
        <v>6.6615122222955458E-2</v>
      </c>
      <c r="Q52" s="291">
        <f t="shared" ref="Q52:R52" si="271">Q15/Q31</f>
        <v>3.8156322707811274E-2</v>
      </c>
      <c r="R52" s="291">
        <f t="shared" si="271"/>
        <v>0.12908288571133936</v>
      </c>
      <c r="S52" s="291">
        <f>S15/S31</f>
        <v>5.9356128912313316E-2</v>
      </c>
      <c r="T52" s="291">
        <f>T15/T31</f>
        <v>6.2554979183859646E-2</v>
      </c>
      <c r="U52" s="291">
        <f t="shared" ref="U52:V52" si="272">U15/U31</f>
        <v>3.7325508861548728E-2</v>
      </c>
      <c r="V52" s="291">
        <f t="shared" si="272"/>
        <v>0.12999145708346821</v>
      </c>
      <c r="W52" s="291">
        <f>W15/W31</f>
        <v>5.7768600487301716E-2</v>
      </c>
      <c r="X52" s="291">
        <f>X15/X31</f>
        <v>6.1331096081340158E-2</v>
      </c>
      <c r="Y52" s="291">
        <f t="shared" ref="Y52:Z52" si="273">Y15/Y31</f>
        <v>3.5553437900736409E-2</v>
      </c>
      <c r="Z52" s="291">
        <f t="shared" si="273"/>
        <v>0.12838485103205502</v>
      </c>
      <c r="AA52" s="291">
        <f>AA15/AA31</f>
        <v>5.5870691160019574E-2</v>
      </c>
      <c r="AB52" s="291">
        <f>AB15/AB31</f>
        <v>6.1236237630668343E-2</v>
      </c>
      <c r="AC52" s="291">
        <f t="shared" ref="AC52:AD52" si="274">AC15/AC31</f>
        <v>3.6353886392441977E-2</v>
      </c>
      <c r="AD52" s="291">
        <f t="shared" si="274"/>
        <v>0.12601103539622627</v>
      </c>
      <c r="AE52" s="291">
        <f>AE15/AE31</f>
        <v>5.6058945703136208E-2</v>
      </c>
      <c r="AF52" s="291">
        <f>AF15/AF31</f>
        <v>5.8487201494752658E-2</v>
      </c>
      <c r="AG52" s="291">
        <f t="shared" ref="AG52:AH52" si="275">AG15/AG31</f>
        <v>3.5815518680810801E-2</v>
      </c>
      <c r="AH52" s="291">
        <f t="shared" si="275"/>
        <v>0.12111261657457993</v>
      </c>
      <c r="AI52" s="291">
        <f>AI15/AI31</f>
        <v>5.4187058461375878E-2</v>
      </c>
      <c r="AJ52" s="291">
        <f>AJ15/AJ31</f>
        <v>5.5317906471334097E-2</v>
      </c>
      <c r="AK52" s="291">
        <f t="shared" ref="AK52:AL52" si="276">AK15/AK31</f>
        <v>3.4672877408959614E-2</v>
      </c>
      <c r="AL52" s="291">
        <f t="shared" si="276"/>
        <v>0.11714637927280275</v>
      </c>
      <c r="AM52" s="291">
        <f>AM15/AM31</f>
        <v>5.216449287579205E-2</v>
      </c>
      <c r="AN52" s="152">
        <f>SUM(AN42:AN51)</f>
        <v>5.7709541047939315E-2</v>
      </c>
      <c r="AO52" s="152">
        <f t="shared" ref="AO52:BO52" si="277">SUM(AO42:AO51)</f>
        <v>3.4938806449428247E-2</v>
      </c>
      <c r="AP52" s="152">
        <f t="shared" si="277"/>
        <v>0.11708376149260714</v>
      </c>
      <c r="AQ52" s="152">
        <f t="shared" si="277"/>
        <v>5.2832763785577427E-2</v>
      </c>
      <c r="AR52" s="152">
        <f t="shared" si="277"/>
        <v>5.7028414290525582E-2</v>
      </c>
      <c r="AS52" s="152">
        <f t="shared" si="277"/>
        <v>3.4599217629729478E-2</v>
      </c>
      <c r="AT52" s="152">
        <f t="shared" si="277"/>
        <v>0.1147407400585259</v>
      </c>
      <c r="AU52" s="152">
        <f t="shared" si="277"/>
        <v>5.2058183980047509E-2</v>
      </c>
      <c r="AV52" s="152">
        <f t="shared" si="277"/>
        <v>5.6347287533111877E-2</v>
      </c>
      <c r="AW52" s="152">
        <f t="shared" si="277"/>
        <v>3.4259628810030654E-2</v>
      </c>
      <c r="AX52" s="152">
        <f t="shared" si="277"/>
        <v>0.11239771862444443</v>
      </c>
      <c r="AY52" s="152">
        <f t="shared" si="277"/>
        <v>5.1283604174517605E-2</v>
      </c>
      <c r="AZ52" s="152">
        <f t="shared" si="277"/>
        <v>5.5666160775698227E-2</v>
      </c>
      <c r="BA52" s="152">
        <f t="shared" si="277"/>
        <v>3.3920039990331885E-2</v>
      </c>
      <c r="BB52" s="152">
        <f t="shared" si="277"/>
        <v>0.1100546971903632</v>
      </c>
      <c r="BC52" s="152">
        <f t="shared" si="277"/>
        <v>5.0509024368987659E-2</v>
      </c>
      <c r="BD52" s="152">
        <f t="shared" si="277"/>
        <v>5.4985034018284536E-2</v>
      </c>
      <c r="BE52" s="152">
        <f t="shared" si="277"/>
        <v>3.3580451170633061E-2</v>
      </c>
      <c r="BF52" s="152">
        <f t="shared" si="277"/>
        <v>0.10771167575628167</v>
      </c>
      <c r="BG52" s="152">
        <f t="shared" si="277"/>
        <v>4.9734444563457776E-2</v>
      </c>
      <c r="BH52" s="152">
        <f t="shared" si="277"/>
        <v>5.4303907260870879E-2</v>
      </c>
      <c r="BI52" s="152">
        <f t="shared" si="277"/>
        <v>3.3240862350934285E-2</v>
      </c>
      <c r="BJ52" s="152">
        <f t="shared" si="277"/>
        <v>0.10536865432220044</v>
      </c>
      <c r="BK52" s="152">
        <f t="shared" si="277"/>
        <v>4.8959864757927865E-2</v>
      </c>
      <c r="BL52" s="152">
        <f t="shared" si="277"/>
        <v>5.3622780503457146E-2</v>
      </c>
      <c r="BM52" s="152">
        <f t="shared" si="277"/>
        <v>3.2901273531235453E-2</v>
      </c>
      <c r="BN52" s="152">
        <f t="shared" si="277"/>
        <v>0.10302563288811911</v>
      </c>
      <c r="BO52" s="152">
        <f t="shared" si="277"/>
        <v>4.8185284952397919E-2</v>
      </c>
    </row>
    <row r="53" spans="2:69" x14ac:dyDescent="0.35">
      <c r="D53" s="60"/>
      <c r="E53" s="54"/>
      <c r="F53" s="111"/>
      <c r="G53" s="113"/>
      <c r="H53" s="60"/>
      <c r="I53" s="54"/>
      <c r="J53" s="111"/>
      <c r="K53" s="113"/>
      <c r="L53" s="60"/>
      <c r="M53" s="54"/>
      <c r="N53" s="111"/>
      <c r="O53" s="113"/>
      <c r="P53" s="60"/>
      <c r="Q53" s="54"/>
      <c r="R53" s="111"/>
      <c r="S53" s="113"/>
      <c r="T53" s="60"/>
      <c r="U53" s="54"/>
      <c r="V53" s="111"/>
      <c r="W53" s="113"/>
      <c r="X53" s="60"/>
      <c r="Y53" s="54"/>
      <c r="Z53" s="111"/>
      <c r="AA53" s="113"/>
      <c r="AB53" s="60"/>
      <c r="AC53" s="54"/>
      <c r="AD53" s="111"/>
      <c r="AE53" s="113"/>
      <c r="AF53" s="60"/>
      <c r="AG53" s="54"/>
      <c r="AH53" s="111"/>
      <c r="AI53" s="113"/>
      <c r="AJ53" s="60"/>
      <c r="AK53" s="54"/>
      <c r="AL53" s="111"/>
      <c r="AM53" s="113"/>
      <c r="AN53" s="60"/>
      <c r="AO53" s="54"/>
      <c r="AP53" s="111"/>
      <c r="AQ53" s="113"/>
      <c r="AR53" s="60" t="s">
        <v>944</v>
      </c>
      <c r="AS53" s="54"/>
      <c r="AT53" s="111"/>
      <c r="AU53" s="113"/>
      <c r="AV53" s="60" t="s">
        <v>945</v>
      </c>
      <c r="AW53" s="54"/>
      <c r="AX53" s="111"/>
      <c r="AY53" s="113"/>
      <c r="AZ53" s="397" t="s">
        <v>946</v>
      </c>
      <c r="BA53" s="398"/>
      <c r="BB53" s="399"/>
      <c r="BC53" s="11"/>
      <c r="BD53" s="397" t="s">
        <v>947</v>
      </c>
      <c r="BE53" s="398"/>
      <c r="BF53" s="399"/>
      <c r="BG53" s="11"/>
      <c r="BH53" s="397" t="s">
        <v>948</v>
      </c>
      <c r="BI53" s="398"/>
      <c r="BJ53" s="399"/>
      <c r="BK53" s="11"/>
      <c r="BL53" s="397" t="s">
        <v>949</v>
      </c>
      <c r="BM53" s="398"/>
      <c r="BN53" s="399"/>
      <c r="BO53" s="13"/>
      <c r="BP53" s="54"/>
      <c r="BQ53" s="54"/>
    </row>
    <row r="54" spans="2:69" ht="14.5" customHeight="1" x14ac:dyDescent="0.35">
      <c r="B54" t="str">
        <f t="shared" ref="B54:B61" si="278">B17</f>
        <v>I1 Általános Iskola 0-7 osztály</v>
      </c>
      <c r="D54" s="150" t="s">
        <v>162</v>
      </c>
      <c r="E54" s="150"/>
      <c r="F54" s="151"/>
      <c r="G54" s="154" t="s">
        <v>128</v>
      </c>
      <c r="H54" s="288">
        <f>H17/H$24*H$61</f>
        <v>2.1683690744733766E-4</v>
      </c>
      <c r="I54" s="288">
        <f>I17/I$24*I$61</f>
        <v>8.8285955548050664E-5</v>
      </c>
      <c r="J54" s="289">
        <f>J17/J$24*J$61</f>
        <v>1.4522274038188837E-4</v>
      </c>
      <c r="K54" s="290">
        <f>K17/K$24*K$52</f>
        <v>1.1903730073368397E-4</v>
      </c>
      <c r="L54" s="288">
        <f>L17/L$24*L$61</f>
        <v>2.4266513893655449E-4</v>
      </c>
      <c r="M54" s="288">
        <f>M17/M$24*M$61</f>
        <v>6.6248088398070229E-5</v>
      </c>
      <c r="N54" s="289">
        <f>N17/N$24*N$61</f>
        <v>1.7158612148294867E-4</v>
      </c>
      <c r="O54" s="290">
        <f>O17/O$24*O$52</f>
        <v>1.1319201348452911E-4</v>
      </c>
      <c r="P54" s="288">
        <f>P17/P$24*P$61</f>
        <v>3.2736822459000694E-4</v>
      </c>
      <c r="Q54" s="288">
        <f>Q17/Q$24*Q$61</f>
        <v>6.9799519370407738E-5</v>
      </c>
      <c r="R54" s="289">
        <f>R17/R$24*R$61</f>
        <v>1.3038023092639873E-4</v>
      </c>
      <c r="S54" s="290">
        <f>S17/S$24*S$52</f>
        <v>1.2203140844322908E-4</v>
      </c>
      <c r="T54" s="288">
        <f>T17/T$24*T$61</f>
        <v>2.7854437423268269E-4</v>
      </c>
      <c r="U54" s="288">
        <f>U17/U$24*U$61</f>
        <v>7.2763939402353996E-5</v>
      </c>
      <c r="V54" s="289">
        <f>V17/V$24*V$61</f>
        <v>1.3044370172889978E-4</v>
      </c>
      <c r="W54" s="290">
        <f>W17/W$24*W$52</f>
        <v>1.1594581219607107E-4</v>
      </c>
      <c r="X54" s="288">
        <f>X17/X$24*X$61</f>
        <v>2.9583908761496715E-4</v>
      </c>
      <c r="Y54" s="288">
        <f>Y17/Y$24*Y$61</f>
        <v>6.7058479356992923E-5</v>
      </c>
      <c r="Z54" s="289">
        <f>Z17/Z$24*Z$61</f>
        <v>1.2145319637306594E-4</v>
      </c>
      <c r="AA54" s="290">
        <f>AA17/AA$24*AA$52</f>
        <v>1.1325827580150088E-4</v>
      </c>
      <c r="AB54" s="288">
        <f>AB17/AB$24*AB$61</f>
        <v>2.062799132192143E-4</v>
      </c>
      <c r="AC54" s="288">
        <f>AC17/AC$24*AC$61</f>
        <v>6.0268915989757561E-5</v>
      </c>
      <c r="AD54" s="289">
        <f>AD17/AD$24*AD$61</f>
        <v>2.134684968939265E-4</v>
      </c>
      <c r="AE54" s="290">
        <f>AE17/AE$24*AE$52</f>
        <v>1.1054440711918784E-4</v>
      </c>
      <c r="AF54" s="288">
        <f>AF17/AF$24*AF$61</f>
        <v>2.3917963176129709E-4</v>
      </c>
      <c r="AG54" s="288">
        <f>AG17/AG$24*AG$61</f>
        <v>5.8822821895518048E-5</v>
      </c>
      <c r="AH54" s="289">
        <f>AH17/AH$24*AH$61</f>
        <v>2.5369077595653898E-4</v>
      </c>
      <c r="AI54" s="290">
        <f>AI17/AI$24*AI$52</f>
        <v>1.2144814309486893E-4</v>
      </c>
      <c r="AJ54" s="288">
        <f>AJ17/AJ$24*AJ$61</f>
        <v>2.1709779598860717E-4</v>
      </c>
      <c r="AK54" s="288">
        <f>AK17/AK$24*AK$61</f>
        <v>6.5987036835920494E-5</v>
      </c>
      <c r="AL54" s="289">
        <f>AL17/AL$24*AL$61</f>
        <v>2.086501119676825E-4</v>
      </c>
      <c r="AM54" s="290">
        <f>AM17/AM$24*AM$52</f>
        <v>1.1455280164754144E-4</v>
      </c>
      <c r="AN54" s="158">
        <f>M81</f>
        <v>2.3360648046575304E-4</v>
      </c>
      <c r="AO54" s="158">
        <f>M106</f>
        <v>5.6465985652224236E-5</v>
      </c>
      <c r="AP54" s="159">
        <f>M131</f>
        <v>2.3051134157187764E-4</v>
      </c>
      <c r="AQ54" s="157">
        <f t="shared" ref="AQ54:AQ60" si="279">M156</f>
        <v>1.1479094606946987E-4</v>
      </c>
      <c r="AR54" s="158">
        <f>N81</f>
        <v>2.2930205740840162E-4</v>
      </c>
      <c r="AS54" s="158">
        <f>N106</f>
        <v>5.3757461441688442E-5</v>
      </c>
      <c r="AT54" s="159">
        <f>N131</f>
        <v>2.4354454592919947E-4</v>
      </c>
      <c r="AU54" s="157">
        <f>N156</f>
        <v>1.1446642957044608E-4</v>
      </c>
      <c r="AV54" s="158">
        <f>O81</f>
        <v>2.249976343510502E-4</v>
      </c>
      <c r="AW54" s="158">
        <f>O106</f>
        <v>5.1048937231152648E-5</v>
      </c>
      <c r="AX54" s="159">
        <f>O131</f>
        <v>2.5657775028652477E-4</v>
      </c>
      <c r="AY54" s="157">
        <f>O156</f>
        <v>1.141419130714224E-4</v>
      </c>
      <c r="AZ54" s="158">
        <f>P81</f>
        <v>2.2069321129370052E-4</v>
      </c>
      <c r="BA54" s="158">
        <f>P106</f>
        <v>4.8340413020617722E-5</v>
      </c>
      <c r="BB54" s="159">
        <f>P131</f>
        <v>2.6961095464385007E-4</v>
      </c>
      <c r="BC54" s="157">
        <f>P156</f>
        <v>1.1381739657239862E-4</v>
      </c>
      <c r="BD54" s="158">
        <f>Q81</f>
        <v>2.1638878823634911E-4</v>
      </c>
      <c r="BE54" s="158">
        <f>Q106</f>
        <v>4.5631888810081928E-5</v>
      </c>
      <c r="BF54" s="159">
        <f>Q131</f>
        <v>2.8264415900117537E-4</v>
      </c>
      <c r="BG54" s="157">
        <f>Q156</f>
        <v>1.1349288007337494E-4</v>
      </c>
      <c r="BH54" s="158">
        <f>R81</f>
        <v>2.1208436517899769E-4</v>
      </c>
      <c r="BI54" s="158">
        <f>R106</f>
        <v>4.2923364599546134E-5</v>
      </c>
      <c r="BJ54" s="159">
        <f>R131</f>
        <v>2.956773633584972E-4</v>
      </c>
      <c r="BK54" s="157">
        <f>R156</f>
        <v>1.1316836357435126E-4</v>
      </c>
      <c r="BL54" s="158">
        <f>S81</f>
        <v>2.0777994212164627E-4</v>
      </c>
      <c r="BM54" s="158">
        <f>S106</f>
        <v>4.0214840389011207E-5</v>
      </c>
      <c r="BN54" s="159">
        <f>S131</f>
        <v>3.087105677158225E-4</v>
      </c>
      <c r="BO54" s="157">
        <f>S156</f>
        <v>1.1284384707532747E-4</v>
      </c>
    </row>
    <row r="55" spans="2:69" x14ac:dyDescent="0.35">
      <c r="B55" t="str">
        <f t="shared" si="278"/>
        <v>I2 Általános Iskola 8 osztály</v>
      </c>
      <c r="D55" s="152"/>
      <c r="E55" s="152"/>
      <c r="F55" s="153"/>
      <c r="G55" s="154"/>
      <c r="H55" s="288">
        <f t="shared" ref="H55:J55" si="280">H18/H$24*H$61</f>
        <v>7.3431732584703438E-3</v>
      </c>
      <c r="I55" s="288">
        <f t="shared" si="280"/>
        <v>4.6591429095044342E-3</v>
      </c>
      <c r="J55" s="289">
        <f t="shared" si="280"/>
        <v>9.7779985914718433E-3</v>
      </c>
      <c r="K55" s="290">
        <f t="shared" ref="K55:K60" si="281">K18/K$24*K$52</f>
        <v>5.9771546126329931E-3</v>
      </c>
      <c r="L55" s="288">
        <f t="shared" ref="L55:N55" si="282">L18/L$24*L$61</f>
        <v>7.9699995349637818E-3</v>
      </c>
      <c r="M55" s="288">
        <f t="shared" si="282"/>
        <v>4.335190353184813E-3</v>
      </c>
      <c r="N55" s="289">
        <f t="shared" si="282"/>
        <v>8.8471026544651287E-3</v>
      </c>
      <c r="O55" s="290">
        <f t="shared" ref="O55:O60" si="283">O18/O$24*O$52</f>
        <v>5.7059979081801396E-3</v>
      </c>
      <c r="P55" s="288">
        <f t="shared" ref="P55:R55" si="284">P18/P$24*P$61</f>
        <v>7.2858958444543855E-3</v>
      </c>
      <c r="Q55" s="288">
        <f t="shared" si="284"/>
        <v>4.3019038994235653E-3</v>
      </c>
      <c r="R55" s="289">
        <f t="shared" si="284"/>
        <v>7.9032179464333784E-3</v>
      </c>
      <c r="S55" s="290">
        <f t="shared" ref="S55:S60" si="285">S18/S$24*S$52</f>
        <v>5.4381096978186197E-3</v>
      </c>
      <c r="T55" s="288">
        <f t="shared" ref="T55:V55" si="286">T18/T$24*T$61</f>
        <v>7.2736266058933624E-3</v>
      </c>
      <c r="U55" s="288">
        <f t="shared" si="286"/>
        <v>4.3356509478268638E-3</v>
      </c>
      <c r="V55" s="289">
        <f t="shared" si="286"/>
        <v>7.6836373790134934E-3</v>
      </c>
      <c r="W55" s="290">
        <f t="shared" ref="W55:W60" si="287">W18/W$24*W$52</f>
        <v>5.3989618597651964E-3</v>
      </c>
      <c r="X55" s="288">
        <f t="shared" ref="X55:Z55" si="288">X18/X$24*X$61</f>
        <v>7.2494007416981183E-3</v>
      </c>
      <c r="Y55" s="288">
        <f t="shared" si="288"/>
        <v>4.1701991850129965E-3</v>
      </c>
      <c r="Z55" s="289">
        <f t="shared" si="288"/>
        <v>7.5924326058551652E-3</v>
      </c>
      <c r="AA55" s="290">
        <f t="shared" ref="AA55:AA60" si="289">AA18/AA$24*AA$52</f>
        <v>5.2608835571671666E-3</v>
      </c>
      <c r="AB55" s="288">
        <f t="shared" ref="AB55:AD55" si="290">AB18/AB$24*AB$61</f>
        <v>7.7952047712346213E-3</v>
      </c>
      <c r="AC55" s="288">
        <f t="shared" si="290"/>
        <v>4.1489062906880057E-3</v>
      </c>
      <c r="AD55" s="289">
        <f t="shared" si="290"/>
        <v>7.9587334595977149E-3</v>
      </c>
      <c r="AE55" s="290">
        <f t="shared" ref="AE55:AE60" si="291">AE18/AE$24*AE$52</f>
        <v>5.4016220237676311E-3</v>
      </c>
      <c r="AF55" s="288">
        <f t="shared" ref="AF55:AH55" si="292">AF18/AF$24*AF$61</f>
        <v>7.098638502510031E-3</v>
      </c>
      <c r="AG55" s="288">
        <f t="shared" si="292"/>
        <v>4.158595855195321E-3</v>
      </c>
      <c r="AH55" s="289">
        <f t="shared" si="292"/>
        <v>7.8194523370755508E-3</v>
      </c>
      <c r="AI55" s="290">
        <f t="shared" ref="AI55:AI60" si="293">AI18/AI$24*AI$52</f>
        <v>5.2630906254902739E-3</v>
      </c>
      <c r="AJ55" s="288">
        <f t="shared" ref="AJ55:AL55" si="294">AJ18/AJ$24*AJ$61</f>
        <v>6.3847338880614933E-3</v>
      </c>
      <c r="AK55" s="288">
        <f t="shared" si="294"/>
        <v>4.2131835301750884E-3</v>
      </c>
      <c r="AL55" s="289">
        <f t="shared" si="294"/>
        <v>7.1111144971441843E-3</v>
      </c>
      <c r="AM55" s="290">
        <f t="shared" ref="AM55:AM60" si="295">AM18/AM$24*AM$52</f>
        <v>5.0572358634684064E-3</v>
      </c>
      <c r="AN55" s="158">
        <f t="shared" ref="AN55:AN60" si="296">M82</f>
        <v>6.7878245091794187E-3</v>
      </c>
      <c r="AO55" s="158">
        <f t="shared" ref="AO55:AO60" si="297">M107</f>
        <v>4.0423573677545871E-3</v>
      </c>
      <c r="AP55" s="159">
        <f t="shared" ref="AP55:AP60" si="298">M132</f>
        <v>6.8154023366906458E-3</v>
      </c>
      <c r="AQ55" s="157">
        <f t="shared" si="279"/>
        <v>4.9610154659102956E-3</v>
      </c>
      <c r="AR55" s="158">
        <f t="shared" ref="AR55:AR60" si="299">N82</f>
        <v>6.6739890349057918E-3</v>
      </c>
      <c r="AS55" s="158">
        <f t="shared" ref="AS55:AS60" si="300">N107</f>
        <v>3.9872486447275202E-3</v>
      </c>
      <c r="AT55" s="159">
        <f t="shared" ref="AT55:AT60" si="301">N132</f>
        <v>6.5328892595369892E-3</v>
      </c>
      <c r="AU55" s="157">
        <f t="shared" ref="AU55:AU60" si="302">N157</f>
        <v>4.8550451208822787E-3</v>
      </c>
      <c r="AV55" s="158">
        <f t="shared" ref="AV55:AV60" si="303">O82</f>
        <v>6.5601535606321648E-3</v>
      </c>
      <c r="AW55" s="158">
        <f t="shared" ref="AW55:AW60" si="304">O107</f>
        <v>3.9321399217004532E-3</v>
      </c>
      <c r="AX55" s="159">
        <f t="shared" ref="AX55:AX60" si="305">O132</f>
        <v>6.2503761823833326E-3</v>
      </c>
      <c r="AY55" s="157">
        <f t="shared" ref="AY55:AY60" si="306">O157</f>
        <v>4.7490747758542617E-3</v>
      </c>
      <c r="AZ55" s="158">
        <f t="shared" ref="AZ55:AZ60" si="307">P82</f>
        <v>6.4463180863585379E-3</v>
      </c>
      <c r="BA55" s="158">
        <f t="shared" ref="BA55:BA60" si="308">P107</f>
        <v>3.8770311986734002E-3</v>
      </c>
      <c r="BB55" s="159">
        <f t="shared" ref="BB55:BB60" si="309">P132</f>
        <v>5.967863105229676E-3</v>
      </c>
      <c r="BC55" s="157">
        <f t="shared" ref="BC55:BC60" si="310">P157</f>
        <v>4.6431044308262726E-3</v>
      </c>
      <c r="BD55" s="158">
        <f t="shared" ref="BD55:BD60" si="311">Q82</f>
        <v>6.3324826120848832E-3</v>
      </c>
      <c r="BE55" s="158">
        <f t="shared" ref="BE55:BE60" si="312">Q107</f>
        <v>3.8219224756463333E-3</v>
      </c>
      <c r="BF55" s="159">
        <f t="shared" ref="BF55:BF60" si="313">Q132</f>
        <v>5.6853500280760194E-3</v>
      </c>
      <c r="BG55" s="157">
        <f t="shared" ref="BG55:BG60" si="314">Q157</f>
        <v>4.5371340857982556E-3</v>
      </c>
      <c r="BH55" s="158">
        <f t="shared" ref="BH55:BH60" si="315">R82</f>
        <v>6.2186471378112562E-3</v>
      </c>
      <c r="BI55" s="158">
        <f t="shared" ref="BI55:BI60" si="316">R107</f>
        <v>3.7668137526192663E-3</v>
      </c>
      <c r="BJ55" s="159">
        <f t="shared" ref="BJ55:BJ60" si="317">R132</f>
        <v>5.4028369509223628E-3</v>
      </c>
      <c r="BK55" s="157">
        <f t="shared" ref="BK55:BK60" si="318">R157</f>
        <v>4.4311637407702664E-3</v>
      </c>
      <c r="BL55" s="158">
        <f t="shared" ref="BL55:BL60" si="319">S82</f>
        <v>6.1048116635376293E-3</v>
      </c>
      <c r="BM55" s="158">
        <f t="shared" ref="BM55:BM60" si="320">S107</f>
        <v>3.7117050295921994E-3</v>
      </c>
      <c r="BN55" s="159">
        <f t="shared" ref="BN55:BN60" si="321">S132</f>
        <v>5.1203238737687062E-3</v>
      </c>
      <c r="BO55" s="157">
        <f t="shared" ref="BO55:BO60" si="322">S157</f>
        <v>4.3251933957422495E-3</v>
      </c>
    </row>
    <row r="56" spans="2:69" x14ac:dyDescent="0.35">
      <c r="B56" t="str">
        <f t="shared" si="278"/>
        <v>I3-I5 Szakiskola, Szakmunkásképző iskola, Szakközépiskola</v>
      </c>
      <c r="D56" s="152"/>
      <c r="E56" s="152"/>
      <c r="F56" s="153"/>
      <c r="G56" s="154"/>
      <c r="H56" s="288">
        <f t="shared" ref="H56:J56" si="323">H19/H$24*H$61</f>
        <v>1.3438242464056475E-2</v>
      </c>
      <c r="I56" s="288">
        <f t="shared" si="323"/>
        <v>1.4281725524542592E-2</v>
      </c>
      <c r="J56" s="289">
        <f t="shared" si="323"/>
        <v>2.7817003200932267E-2</v>
      </c>
      <c r="K56" s="290">
        <f t="shared" si="281"/>
        <v>1.6472203821630942E-2</v>
      </c>
      <c r="L56" s="288">
        <f t="shared" ref="L56:N56" si="324">L19/L$24*L$61</f>
        <v>1.4559614907972066E-2</v>
      </c>
      <c r="M56" s="288">
        <f t="shared" si="324"/>
        <v>1.397923540444776E-2</v>
      </c>
      <c r="N56" s="289">
        <f t="shared" si="324"/>
        <v>2.8574969269390269E-2</v>
      </c>
      <c r="O56" s="290">
        <f t="shared" si="283"/>
        <v>1.6589684525675302E-2</v>
      </c>
      <c r="P56" s="288">
        <f t="shared" ref="P56:R56" si="325">P19/P$24*P$61</f>
        <v>1.5835917950642913E-2</v>
      </c>
      <c r="Q56" s="288">
        <f t="shared" si="325"/>
        <v>1.4402690722676796E-2</v>
      </c>
      <c r="R56" s="289">
        <f t="shared" si="325"/>
        <v>2.6872303199390626E-2</v>
      </c>
      <c r="S56" s="290">
        <f t="shared" si="285"/>
        <v>1.6915607589226583E-2</v>
      </c>
      <c r="T56" s="288">
        <f t="shared" ref="T56:V56" si="326">T19/T$24*T$61</f>
        <v>1.4379806204678646E-2</v>
      </c>
      <c r="U56" s="288">
        <f t="shared" si="326"/>
        <v>1.3783617909887934E-2</v>
      </c>
      <c r="V56" s="289">
        <f t="shared" si="326"/>
        <v>2.5479007751760048E-2</v>
      </c>
      <c r="W56" s="290">
        <f t="shared" si="287"/>
        <v>1.59490493296034E-2</v>
      </c>
      <c r="X56" s="288">
        <f t="shared" ref="X56:Z56" si="327">X19/X$24*X$61</f>
        <v>1.4212811760078379E-2</v>
      </c>
      <c r="Y56" s="288">
        <f t="shared" si="327"/>
        <v>1.2614577085047112E-2</v>
      </c>
      <c r="Z56" s="289">
        <f t="shared" si="327"/>
        <v>2.4538657750302385E-2</v>
      </c>
      <c r="AA56" s="290">
        <f t="shared" si="289"/>
        <v>1.4949388224156923E-2</v>
      </c>
      <c r="AB56" s="288">
        <f t="shared" ref="AB56:AD56" si="328">AB19/AB$24*AB$61</f>
        <v>1.3552764374378513E-2</v>
      </c>
      <c r="AC56" s="288">
        <f t="shared" si="328"/>
        <v>1.2901352930700391E-2</v>
      </c>
      <c r="AD56" s="289">
        <f t="shared" si="328"/>
        <v>2.3930623291588422E-2</v>
      </c>
      <c r="AE56" s="290">
        <f t="shared" si="291"/>
        <v>1.4938800250403473E-2</v>
      </c>
      <c r="AF56" s="288">
        <f t="shared" ref="AF56:AH56" si="329">AF19/AF$24*AF$61</f>
        <v>1.3250961153739834E-2</v>
      </c>
      <c r="AG56" s="288">
        <f t="shared" si="329"/>
        <v>1.3053554007492611E-2</v>
      </c>
      <c r="AH56" s="289">
        <f t="shared" si="329"/>
        <v>2.3460185962450131E-2</v>
      </c>
      <c r="AI56" s="290">
        <f t="shared" si="293"/>
        <v>1.4882299407255896E-2</v>
      </c>
      <c r="AJ56" s="288">
        <f t="shared" ref="AJ56:AL56" si="330">AJ19/AJ$24*AJ$61</f>
        <v>1.2263608076921086E-2</v>
      </c>
      <c r="AK56" s="288">
        <f t="shared" si="330"/>
        <v>1.2712676359485253E-2</v>
      </c>
      <c r="AL56" s="289">
        <f t="shared" si="330"/>
        <v>2.3384746604658675E-2</v>
      </c>
      <c r="AM56" s="290">
        <f t="shared" si="295"/>
        <v>1.4481000839095256E-2</v>
      </c>
      <c r="AN56" s="158">
        <f t="shared" si="296"/>
        <v>1.2769814183638761E-2</v>
      </c>
      <c r="AO56" s="158">
        <f t="shared" si="297"/>
        <v>1.2325921314055743E-2</v>
      </c>
      <c r="AP56" s="159">
        <f t="shared" si="298"/>
        <v>2.1951913784158172E-2</v>
      </c>
      <c r="AQ56" s="157">
        <f t="shared" si="279"/>
        <v>1.4071963377393693E-2</v>
      </c>
      <c r="AR56" s="158">
        <f t="shared" si="299"/>
        <v>1.2510502699656589E-2</v>
      </c>
      <c r="AS56" s="158">
        <f t="shared" si="300"/>
        <v>1.2072530774282497E-2</v>
      </c>
      <c r="AT56" s="159">
        <f t="shared" si="301"/>
        <v>2.1161853040902567E-2</v>
      </c>
      <c r="AU56" s="157">
        <f t="shared" si="302"/>
        <v>1.3721898739396554E-2</v>
      </c>
      <c r="AV56" s="158">
        <f t="shared" si="303"/>
        <v>1.2251191215674417E-2</v>
      </c>
      <c r="AW56" s="158">
        <f t="shared" si="304"/>
        <v>1.1819140234509362E-2</v>
      </c>
      <c r="AX56" s="159">
        <f t="shared" si="305"/>
        <v>2.037179229764674E-2</v>
      </c>
      <c r="AY56" s="157">
        <f t="shared" si="306"/>
        <v>1.3371834101399416E-2</v>
      </c>
      <c r="AZ56" s="158">
        <f t="shared" si="307"/>
        <v>1.1991879731692245E-2</v>
      </c>
      <c r="BA56" s="158">
        <f t="shared" si="308"/>
        <v>1.1565749694736227E-2</v>
      </c>
      <c r="BB56" s="159">
        <f t="shared" si="309"/>
        <v>1.9581731554391135E-2</v>
      </c>
      <c r="BC56" s="157">
        <f t="shared" si="310"/>
        <v>1.3021769463402166E-2</v>
      </c>
      <c r="BD56" s="158">
        <f t="shared" si="311"/>
        <v>1.1732568247710073E-2</v>
      </c>
      <c r="BE56" s="158">
        <f t="shared" si="312"/>
        <v>1.1312359154962981E-2</v>
      </c>
      <c r="BF56" s="159">
        <f t="shared" si="313"/>
        <v>1.8791670811135308E-2</v>
      </c>
      <c r="BG56" s="157">
        <f t="shared" si="314"/>
        <v>1.2671704825405028E-2</v>
      </c>
      <c r="BH56" s="158">
        <f t="shared" si="315"/>
        <v>1.1473256763727901E-2</v>
      </c>
      <c r="BI56" s="158">
        <f t="shared" si="316"/>
        <v>1.1058968615189846E-2</v>
      </c>
      <c r="BJ56" s="159">
        <f t="shared" si="317"/>
        <v>1.8001610067879703E-2</v>
      </c>
      <c r="BK56" s="157">
        <f t="shared" si="318"/>
        <v>1.232164018740789E-2</v>
      </c>
      <c r="BL56" s="158">
        <f t="shared" si="319"/>
        <v>1.121394527974573E-2</v>
      </c>
      <c r="BM56" s="158">
        <f t="shared" si="320"/>
        <v>1.08055780754166E-2</v>
      </c>
      <c r="BN56" s="159">
        <f t="shared" si="321"/>
        <v>1.7211549324623876E-2</v>
      </c>
      <c r="BO56" s="157">
        <f t="shared" si="322"/>
        <v>1.197157554941064E-2</v>
      </c>
    </row>
    <row r="57" spans="2:69" x14ac:dyDescent="0.35">
      <c r="B57" t="str">
        <f t="shared" si="278"/>
        <v>I6 Gimnázium</v>
      </c>
      <c r="D57" s="152"/>
      <c r="E57" s="152"/>
      <c r="F57" s="153"/>
      <c r="G57" s="154"/>
      <c r="H57" s="288">
        <f t="shared" ref="H57:J57" si="331">H20/H$24*H$61</f>
        <v>5.5582399687019455E-3</v>
      </c>
      <c r="I57" s="288">
        <f t="shared" si="331"/>
        <v>2.7655112209064368E-3</v>
      </c>
      <c r="J57" s="289">
        <f t="shared" si="331"/>
        <v>1.402048003457072E-2</v>
      </c>
      <c r="K57" s="290">
        <f t="shared" si="281"/>
        <v>5.1566241021759321E-3</v>
      </c>
      <c r="L57" s="288">
        <f t="shared" ref="L57:N57" si="332">L20/L$24*L$61</f>
        <v>6.2852324982116056E-3</v>
      </c>
      <c r="M57" s="288">
        <f t="shared" si="332"/>
        <v>2.8415097408042481E-3</v>
      </c>
      <c r="N57" s="289">
        <f t="shared" si="332"/>
        <v>1.4453885206904989E-2</v>
      </c>
      <c r="O57" s="290">
        <f t="shared" si="283"/>
        <v>5.4049824859694487E-3</v>
      </c>
      <c r="P57" s="288">
        <f t="shared" ref="P57:R57" si="333">P20/P$24*P$61</f>
        <v>7.1552326051386337E-3</v>
      </c>
      <c r="Q57" s="288">
        <f t="shared" si="333"/>
        <v>3.1928287387598241E-3</v>
      </c>
      <c r="R57" s="289">
        <f t="shared" si="333"/>
        <v>1.4055767283304148E-2</v>
      </c>
      <c r="S57" s="290">
        <f t="shared" si="285"/>
        <v>5.8153831148405298E-3</v>
      </c>
      <c r="T57" s="288">
        <f t="shared" ref="T57:V57" si="334">T20/T$24*T$61</f>
        <v>6.6777150285430627E-3</v>
      </c>
      <c r="U57" s="288">
        <f t="shared" si="334"/>
        <v>3.2620297292248793E-3</v>
      </c>
      <c r="V57" s="289">
        <f t="shared" si="334"/>
        <v>1.5360279085337799E-2</v>
      </c>
      <c r="W57" s="290">
        <f t="shared" si="287"/>
        <v>5.9505462412386525E-3</v>
      </c>
      <c r="X57" s="288">
        <f t="shared" ref="X57:Z57" si="335">X20/X$24*X$61</f>
        <v>7.0828569454015567E-3</v>
      </c>
      <c r="Y57" s="288">
        <f t="shared" si="335"/>
        <v>3.4764982274894654E-3</v>
      </c>
      <c r="Z57" s="289">
        <f t="shared" si="335"/>
        <v>1.6981350101443093E-2</v>
      </c>
      <c r="AA57" s="290">
        <f t="shared" si="289"/>
        <v>6.4091307639353333E-3</v>
      </c>
      <c r="AB57" s="288">
        <f t="shared" ref="AB57:AD57" si="336">AB20/AB$24*AB$61</f>
        <v>8.0877392810784106E-3</v>
      </c>
      <c r="AC57" s="288">
        <f t="shared" si="336"/>
        <v>4.147098433424274E-3</v>
      </c>
      <c r="AD57" s="289">
        <f t="shared" si="336"/>
        <v>1.755605078262458E-2</v>
      </c>
      <c r="AE57" s="290">
        <f t="shared" si="291"/>
        <v>7.1293322371059221E-3</v>
      </c>
      <c r="AF57" s="288">
        <f t="shared" ref="AF57:AH57" si="337">AF20/AF$24*AF$61</f>
        <v>8.0216916772764893E-3</v>
      </c>
      <c r="AG57" s="288">
        <f t="shared" si="337"/>
        <v>3.7608509353313315E-3</v>
      </c>
      <c r="AH57" s="289">
        <f t="shared" si="337"/>
        <v>1.6563287105017074E-2</v>
      </c>
      <c r="AI57" s="290">
        <f t="shared" si="293"/>
        <v>6.6561188551724319E-3</v>
      </c>
      <c r="AJ57" s="288">
        <f t="shared" ref="AJ57:AL57" si="338">AJ20/AJ$24*AJ$61</f>
        <v>7.6899720020188597E-3</v>
      </c>
      <c r="AK57" s="288">
        <f t="shared" si="338"/>
        <v>3.6872661068278155E-3</v>
      </c>
      <c r="AL57" s="289">
        <f t="shared" si="338"/>
        <v>1.5303879213536041E-2</v>
      </c>
      <c r="AM57" s="290">
        <f t="shared" si="295"/>
        <v>6.3247027948415604E-3</v>
      </c>
      <c r="AN57" s="158">
        <f t="shared" si="296"/>
        <v>8.5059286832902536E-3</v>
      </c>
      <c r="AO57" s="158">
        <f t="shared" si="297"/>
        <v>4.1484634856858715E-3</v>
      </c>
      <c r="AP57" s="159">
        <f t="shared" si="298"/>
        <v>1.7232554061809346E-2</v>
      </c>
      <c r="AQ57" s="157">
        <f t="shared" si="279"/>
        <v>7.1147453199904009E-3</v>
      </c>
      <c r="AR57" s="158">
        <f t="shared" si="299"/>
        <v>8.8250606127333597E-3</v>
      </c>
      <c r="AS57" s="158">
        <f t="shared" si="300"/>
        <v>4.3166333399280443E-3</v>
      </c>
      <c r="AT57" s="159">
        <f t="shared" si="301"/>
        <v>1.7609372219635322E-2</v>
      </c>
      <c r="AU57" s="157">
        <f t="shared" si="302"/>
        <v>7.338943707897172E-3</v>
      </c>
      <c r="AV57" s="158">
        <f t="shared" si="303"/>
        <v>9.1441925421764658E-3</v>
      </c>
      <c r="AW57" s="158">
        <f t="shared" si="304"/>
        <v>4.4848031941702171E-3</v>
      </c>
      <c r="AX57" s="159">
        <f t="shared" si="305"/>
        <v>1.7986190377461297E-2</v>
      </c>
      <c r="AY57" s="157">
        <f t="shared" si="306"/>
        <v>7.5631420958038875E-3</v>
      </c>
      <c r="AZ57" s="158">
        <f t="shared" si="307"/>
        <v>9.4633244716195719E-3</v>
      </c>
      <c r="BA57" s="158">
        <f t="shared" si="308"/>
        <v>4.6529730484123899E-3</v>
      </c>
      <c r="BB57" s="159">
        <f t="shared" si="309"/>
        <v>1.8363008535287384E-2</v>
      </c>
      <c r="BC57" s="157">
        <f t="shared" si="310"/>
        <v>7.7873404837106586E-3</v>
      </c>
      <c r="BD57" s="158">
        <f t="shared" si="311"/>
        <v>9.782456401062678E-3</v>
      </c>
      <c r="BE57" s="158">
        <f t="shared" si="312"/>
        <v>4.8211429026545627E-3</v>
      </c>
      <c r="BF57" s="159">
        <f t="shared" si="313"/>
        <v>1.8739826693113359E-2</v>
      </c>
      <c r="BG57" s="157">
        <f t="shared" si="314"/>
        <v>8.0115388716174296E-3</v>
      </c>
      <c r="BH57" s="158">
        <f t="shared" si="315"/>
        <v>1.0101588330505784E-2</v>
      </c>
      <c r="BI57" s="158">
        <f t="shared" si="316"/>
        <v>4.9893127568967355E-3</v>
      </c>
      <c r="BJ57" s="159">
        <f t="shared" si="317"/>
        <v>1.9116644850939335E-2</v>
      </c>
      <c r="BK57" s="157">
        <f t="shared" si="318"/>
        <v>8.2357372595241451E-3</v>
      </c>
      <c r="BL57" s="158">
        <f t="shared" si="319"/>
        <v>1.042072025994889E-2</v>
      </c>
      <c r="BM57" s="158">
        <f t="shared" si="320"/>
        <v>5.1574826111389638E-3</v>
      </c>
      <c r="BN57" s="159">
        <f t="shared" si="321"/>
        <v>1.949346300876531E-2</v>
      </c>
      <c r="BO57" s="157">
        <f t="shared" si="322"/>
        <v>8.4599356474309162E-3</v>
      </c>
    </row>
    <row r="58" spans="2:69" x14ac:dyDescent="0.35">
      <c r="B58" t="str">
        <f t="shared" si="278"/>
        <v>I7 Technikum</v>
      </c>
      <c r="D58" s="152"/>
      <c r="E58" s="152"/>
      <c r="F58" s="153"/>
      <c r="G58" s="154"/>
      <c r="H58" s="288">
        <f t="shared" ref="H58:J58" si="339">H21/H$24*H$61</f>
        <v>1.370550878466566E-2</v>
      </c>
      <c r="I58" s="288">
        <f t="shared" si="339"/>
        <v>9.0891599508498826E-3</v>
      </c>
      <c r="J58" s="289">
        <f t="shared" si="339"/>
        <v>3.45601095702322E-2</v>
      </c>
      <c r="K58" s="290">
        <f t="shared" si="281"/>
        <v>1.4222664058486788E-2</v>
      </c>
      <c r="L58" s="288">
        <f t="shared" ref="L58:N58" si="340">L21/L$24*L$61</f>
        <v>1.5105489208820478E-2</v>
      </c>
      <c r="M58" s="288">
        <f t="shared" si="340"/>
        <v>8.976111550869496E-3</v>
      </c>
      <c r="N58" s="289">
        <f t="shared" si="340"/>
        <v>3.6492932613029765E-2</v>
      </c>
      <c r="O58" s="290">
        <f t="shared" si="283"/>
        <v>1.4719143409437313E-2</v>
      </c>
      <c r="P58" s="288">
        <f t="shared" ref="P58:R58" si="341">P21/P$24*P$61</f>
        <v>1.5870206906301861E-2</v>
      </c>
      <c r="Q58" s="288">
        <f t="shared" si="341"/>
        <v>9.0845640080324287E-3</v>
      </c>
      <c r="R58" s="289">
        <f t="shared" si="341"/>
        <v>3.3631288671425161E-2</v>
      </c>
      <c r="S58" s="290">
        <f t="shared" si="285"/>
        <v>1.4664426215227469E-2</v>
      </c>
      <c r="T58" s="288">
        <f t="shared" ref="T58:V58" si="342">T21/T$24*T$61</f>
        <v>1.4418629033563581E-2</v>
      </c>
      <c r="U58" s="288">
        <f t="shared" si="342"/>
        <v>8.9125574117059903E-3</v>
      </c>
      <c r="V58" s="289">
        <f t="shared" si="342"/>
        <v>3.3585883328469464E-2</v>
      </c>
      <c r="W58" s="290">
        <f t="shared" si="287"/>
        <v>1.4161620595683502E-2</v>
      </c>
      <c r="X58" s="288">
        <f t="shared" ref="X58:Z58" si="343">X21/X$24*X$61</f>
        <v>1.2743465686300651E-2</v>
      </c>
      <c r="Y58" s="288">
        <f t="shared" si="343"/>
        <v>8.5016282126294859E-3</v>
      </c>
      <c r="Z58" s="289">
        <f t="shared" si="343"/>
        <v>3.1146107407160502E-2</v>
      </c>
      <c r="AA58" s="290">
        <f t="shared" si="289"/>
        <v>1.3129236763255602E-2</v>
      </c>
      <c r="AB58" s="288">
        <f t="shared" ref="AB58:AD58" si="344">AB21/AB$24*AB$61</f>
        <v>1.2393506077261756E-2</v>
      </c>
      <c r="AC58" s="288">
        <f t="shared" si="344"/>
        <v>8.2567784258085163E-3</v>
      </c>
      <c r="AD58" s="289">
        <f t="shared" si="344"/>
        <v>3.0790300768484408E-2</v>
      </c>
      <c r="AE58" s="290">
        <f t="shared" si="291"/>
        <v>1.2869597751606286E-2</v>
      </c>
      <c r="AF58" s="288">
        <f t="shared" ref="AF58:AH58" si="345">AF21/AF$24*AF$61</f>
        <v>1.2531128755137682E-2</v>
      </c>
      <c r="AG58" s="288">
        <f t="shared" si="345"/>
        <v>7.91922965930489E-3</v>
      </c>
      <c r="AH58" s="289">
        <f t="shared" si="345"/>
        <v>2.9840558511852723E-2</v>
      </c>
      <c r="AI58" s="290">
        <f t="shared" si="293"/>
        <v>1.2445559337365335E-2</v>
      </c>
      <c r="AJ58" s="288">
        <f t="shared" ref="AJ58:AL58" si="346">AJ21/AJ$24*AJ$61</f>
        <v>1.1572466638039252E-2</v>
      </c>
      <c r="AK58" s="288">
        <f t="shared" si="346"/>
        <v>7.4318270118948915E-3</v>
      </c>
      <c r="AL58" s="289">
        <f t="shared" si="346"/>
        <v>2.7476714796399147E-2</v>
      </c>
      <c r="AM58" s="290">
        <f t="shared" si="295"/>
        <v>1.1543950639903504E-2</v>
      </c>
      <c r="AN58" s="158">
        <f t="shared" si="296"/>
        <v>1.1404602111483864E-2</v>
      </c>
      <c r="AO58" s="158">
        <f t="shared" si="297"/>
        <v>7.4618377801589642E-3</v>
      </c>
      <c r="AP58" s="159">
        <f t="shared" si="298"/>
        <v>2.7165038375193351E-2</v>
      </c>
      <c r="AQ58" s="157">
        <f t="shared" si="279"/>
        <v>1.1512250729563633E-2</v>
      </c>
      <c r="AR58" s="158">
        <f t="shared" si="299"/>
        <v>1.0929502550422132E-2</v>
      </c>
      <c r="AS58" s="158">
        <f t="shared" si="300"/>
        <v>7.2263612804416288E-3</v>
      </c>
      <c r="AT58" s="159">
        <f t="shared" si="301"/>
        <v>2.6048272023373453E-2</v>
      </c>
      <c r="AU58" s="157">
        <f t="shared" si="302"/>
        <v>1.1077300925828704E-2</v>
      </c>
      <c r="AV58" s="158">
        <f t="shared" si="303"/>
        <v>1.0454402989360401E-2</v>
      </c>
      <c r="AW58" s="158">
        <f t="shared" si="304"/>
        <v>6.9908847807242935E-3</v>
      </c>
      <c r="AX58" s="159">
        <f t="shared" si="305"/>
        <v>2.4931505671554E-2</v>
      </c>
      <c r="AY58" s="157">
        <f t="shared" si="306"/>
        <v>1.0642351122093774E-2</v>
      </c>
      <c r="AZ58" s="158">
        <f t="shared" si="307"/>
        <v>9.9793034282987803E-3</v>
      </c>
      <c r="BA58" s="158">
        <f t="shared" si="308"/>
        <v>6.7554082810069582E-3</v>
      </c>
      <c r="BB58" s="159">
        <f t="shared" si="309"/>
        <v>2.3814739319734546E-2</v>
      </c>
      <c r="BC58" s="157">
        <f t="shared" si="310"/>
        <v>1.0207401318358844E-2</v>
      </c>
      <c r="BD58" s="158">
        <f t="shared" si="311"/>
        <v>9.5042038672370488E-3</v>
      </c>
      <c r="BE58" s="158">
        <f t="shared" si="312"/>
        <v>6.5199317812896229E-3</v>
      </c>
      <c r="BF58" s="159">
        <f t="shared" si="313"/>
        <v>2.2697972967914648E-2</v>
      </c>
      <c r="BG58" s="157">
        <f t="shared" si="314"/>
        <v>9.7724515146239144E-3</v>
      </c>
      <c r="BH58" s="158">
        <f t="shared" si="315"/>
        <v>9.0291043061753173E-3</v>
      </c>
      <c r="BI58" s="158">
        <f t="shared" si="316"/>
        <v>6.2844552815722876E-3</v>
      </c>
      <c r="BJ58" s="159">
        <f t="shared" si="317"/>
        <v>2.1581206616095194E-2</v>
      </c>
      <c r="BK58" s="157">
        <f t="shared" si="318"/>
        <v>9.3375017108889846E-3</v>
      </c>
      <c r="BL58" s="158">
        <f t="shared" si="319"/>
        <v>8.5540047451136969E-3</v>
      </c>
      <c r="BM58" s="158">
        <f t="shared" si="320"/>
        <v>6.0489787818549523E-3</v>
      </c>
      <c r="BN58" s="159">
        <f t="shared" si="321"/>
        <v>2.0464440264275296E-2</v>
      </c>
      <c r="BO58" s="157">
        <f t="shared" si="322"/>
        <v>8.9025519071540549E-3</v>
      </c>
    </row>
    <row r="59" spans="2:69" x14ac:dyDescent="0.35">
      <c r="B59" t="str">
        <f t="shared" si="278"/>
        <v>I8 Főiskola</v>
      </c>
      <c r="D59" s="152"/>
      <c r="E59" s="152"/>
      <c r="F59" s="153"/>
      <c r="G59" s="154"/>
      <c r="H59" s="288">
        <f t="shared" ref="H59:J59" si="347">H22/H$24*H$61</f>
        <v>9.3835071245745513E-3</v>
      </c>
      <c r="I59" s="288">
        <f t="shared" si="347"/>
        <v>3.6702838995551282E-3</v>
      </c>
      <c r="J59" s="289">
        <f t="shared" si="347"/>
        <v>2.841168170558165E-2</v>
      </c>
      <c r="K59" s="290">
        <f t="shared" si="281"/>
        <v>8.8571396343155688E-3</v>
      </c>
      <c r="L59" s="288">
        <f t="shared" ref="L59:N59" si="348">L22/L$24*L$61</f>
        <v>1.0280453348732139E-2</v>
      </c>
      <c r="M59" s="288">
        <f t="shared" si="348"/>
        <v>3.9465413066725663E-3</v>
      </c>
      <c r="N59" s="289">
        <f t="shared" si="348"/>
        <v>3.0269347494374075E-2</v>
      </c>
      <c r="O59" s="290">
        <f t="shared" si="283"/>
        <v>9.5171468269501288E-3</v>
      </c>
      <c r="P59" s="288">
        <f t="shared" ref="P59:R59" si="349">P22/P$24*P$61</f>
        <v>1.0943654972380413E-2</v>
      </c>
      <c r="Q59" s="288">
        <f t="shared" si="349"/>
        <v>4.2073256739538073E-3</v>
      </c>
      <c r="R59" s="289">
        <f t="shared" si="349"/>
        <v>2.8758216973869422E-2</v>
      </c>
      <c r="S59" s="290">
        <f t="shared" si="285"/>
        <v>9.7800753476240815E-3</v>
      </c>
      <c r="T59" s="288">
        <f t="shared" ref="T59:V59" si="350">T22/T$24*T$61</f>
        <v>1.0620776374878181E-2</v>
      </c>
      <c r="U59" s="288">
        <f t="shared" si="350"/>
        <v>3.9882794550256447E-3</v>
      </c>
      <c r="V59" s="289">
        <f t="shared" si="350"/>
        <v>2.9395901953053211E-2</v>
      </c>
      <c r="W59" s="290">
        <f t="shared" si="287"/>
        <v>9.5477956402526595E-3</v>
      </c>
      <c r="X59" s="288">
        <f t="shared" ref="X59:Z59" si="351">X22/X$24*X$61</f>
        <v>1.0744850591066486E-2</v>
      </c>
      <c r="Y59" s="288">
        <f t="shared" si="351"/>
        <v>3.7094529900237611E-3</v>
      </c>
      <c r="Z59" s="289">
        <f t="shared" si="351"/>
        <v>2.9497790469825837E-2</v>
      </c>
      <c r="AA59" s="290">
        <f t="shared" si="289"/>
        <v>9.3333815540179374E-3</v>
      </c>
      <c r="AB59" s="288">
        <f t="shared" ref="AB59:AD59" si="352">AB22/AB$24*AB$61</f>
        <v>1.0989845250052361E-2</v>
      </c>
      <c r="AC59" s="288">
        <f t="shared" si="352"/>
        <v>3.9353689176067509E-3</v>
      </c>
      <c r="AD59" s="289">
        <f t="shared" si="352"/>
        <v>2.8227642937724583E-2</v>
      </c>
      <c r="AE59" s="290">
        <f t="shared" si="291"/>
        <v>9.3245520084957768E-3</v>
      </c>
      <c r="AF59" s="288">
        <f t="shared" ref="AF59:AH59" si="353">AF22/AF$24*AF$61</f>
        <v>1.015628797991327E-2</v>
      </c>
      <c r="AG59" s="288">
        <f t="shared" si="353"/>
        <v>3.8767792685502501E-3</v>
      </c>
      <c r="AH59" s="289">
        <f t="shared" si="353"/>
        <v>2.5987567934393239E-2</v>
      </c>
      <c r="AI59" s="290">
        <f t="shared" si="293"/>
        <v>8.7037353373161843E-3</v>
      </c>
      <c r="AJ59" s="288">
        <f t="shared" ref="AJ59:AL59" si="354">AJ22/AJ$24*AJ$61</f>
        <v>8.7593190122170535E-3</v>
      </c>
      <c r="AK59" s="288">
        <f t="shared" si="354"/>
        <v>3.459122584852503E-3</v>
      </c>
      <c r="AL59" s="289">
        <f t="shared" si="354"/>
        <v>2.4864963756055139E-2</v>
      </c>
      <c r="AM59" s="290">
        <f t="shared" si="295"/>
        <v>7.98980738092386E-3</v>
      </c>
      <c r="AN59" s="158">
        <f t="shared" si="296"/>
        <v>9.9815779791522091E-3</v>
      </c>
      <c r="AO59" s="158">
        <f t="shared" si="297"/>
        <v>3.6926280409100704E-3</v>
      </c>
      <c r="AP59" s="159">
        <f t="shared" si="298"/>
        <v>2.5619902168917852E-2</v>
      </c>
      <c r="AQ59" s="157">
        <f t="shared" si="279"/>
        <v>8.5038809666549975E-3</v>
      </c>
      <c r="AR59" s="158">
        <f t="shared" si="299"/>
        <v>9.9252982341356266E-3</v>
      </c>
      <c r="AS59" s="158">
        <f t="shared" si="300"/>
        <v>3.6578466584389624E-3</v>
      </c>
      <c r="AT59" s="159">
        <f t="shared" si="301"/>
        <v>2.5051738394652912E-2</v>
      </c>
      <c r="AU59" s="157">
        <f t="shared" si="302"/>
        <v>8.3643646889701162E-3</v>
      </c>
      <c r="AV59" s="158">
        <f t="shared" si="303"/>
        <v>9.8690184891190441E-3</v>
      </c>
      <c r="AW59" s="158">
        <f t="shared" si="304"/>
        <v>3.6230652759678544E-3</v>
      </c>
      <c r="AX59" s="159">
        <f t="shared" si="305"/>
        <v>2.4483574620387971E-2</v>
      </c>
      <c r="AY59" s="157">
        <f t="shared" si="306"/>
        <v>8.2248484112852349E-3</v>
      </c>
      <c r="AZ59" s="158">
        <f t="shared" si="307"/>
        <v>9.8127387441024616E-3</v>
      </c>
      <c r="BA59" s="158">
        <f t="shared" si="308"/>
        <v>3.5882838934967465E-3</v>
      </c>
      <c r="BB59" s="159">
        <f t="shared" si="309"/>
        <v>2.3915410846123031E-2</v>
      </c>
      <c r="BC59" s="157">
        <f t="shared" si="310"/>
        <v>8.0853321336002981E-3</v>
      </c>
      <c r="BD59" s="158">
        <f t="shared" si="311"/>
        <v>9.756458999085893E-3</v>
      </c>
      <c r="BE59" s="158">
        <f t="shared" si="312"/>
        <v>3.5535025110256385E-3</v>
      </c>
      <c r="BF59" s="159">
        <f t="shared" si="313"/>
        <v>2.3347247071858312E-2</v>
      </c>
      <c r="BG59" s="157">
        <f t="shared" si="314"/>
        <v>7.9458158559154168E-3</v>
      </c>
      <c r="BH59" s="158">
        <f t="shared" si="315"/>
        <v>9.7001792540693105E-3</v>
      </c>
      <c r="BI59" s="158">
        <f t="shared" si="316"/>
        <v>3.5187211285545306E-3</v>
      </c>
      <c r="BJ59" s="159">
        <f t="shared" si="317"/>
        <v>2.2779083297593372E-2</v>
      </c>
      <c r="BK59" s="157">
        <f t="shared" si="318"/>
        <v>7.8062995782305356E-3</v>
      </c>
      <c r="BL59" s="158">
        <f t="shared" si="319"/>
        <v>9.643899509052728E-3</v>
      </c>
      <c r="BM59" s="158">
        <f t="shared" si="320"/>
        <v>3.4839397460834226E-3</v>
      </c>
      <c r="BN59" s="159">
        <f t="shared" si="321"/>
        <v>2.2210919523328432E-2</v>
      </c>
      <c r="BO59" s="157">
        <f t="shared" si="322"/>
        <v>7.6667833005455988E-3</v>
      </c>
    </row>
    <row r="60" spans="2:69" x14ac:dyDescent="0.35">
      <c r="B60" t="str">
        <f t="shared" si="278"/>
        <v>I9 Egyetem</v>
      </c>
      <c r="D60" s="152"/>
      <c r="E60" s="152"/>
      <c r="F60" s="153"/>
      <c r="G60" s="155"/>
      <c r="H60" s="288">
        <f t="shared" ref="H60:J60" si="355">H23/H$24*H$61</f>
        <v>8.4763518365777463E-3</v>
      </c>
      <c r="I60" s="288">
        <f t="shared" si="355"/>
        <v>2.3675557656829354E-3</v>
      </c>
      <c r="J60" s="289">
        <f t="shared" si="355"/>
        <v>1.7833098537838387E-2</v>
      </c>
      <c r="K60" s="290">
        <f t="shared" si="281"/>
        <v>6.0235058341899751E-3</v>
      </c>
      <c r="L60" s="288">
        <f t="shared" ref="L60:N60" si="356">L23/L$24*L$61</f>
        <v>8.0890335833659534E-3</v>
      </c>
      <c r="M60" s="288">
        <f t="shared" si="356"/>
        <v>2.7915954813078044E-3</v>
      </c>
      <c r="N60" s="289">
        <f t="shared" si="356"/>
        <v>1.7914220756660149E-2</v>
      </c>
      <c r="O60" s="290">
        <f t="shared" si="283"/>
        <v>6.2625891498955914E-3</v>
      </c>
      <c r="P60" s="288">
        <f t="shared" ref="P60:R60" si="357">P23/P$24*P$61</f>
        <v>9.1968457194472469E-3</v>
      </c>
      <c r="Q60" s="288">
        <f t="shared" si="357"/>
        <v>2.8972101455944444E-3</v>
      </c>
      <c r="R60" s="289">
        <f t="shared" si="357"/>
        <v>1.7731711405990225E-2</v>
      </c>
      <c r="S60" s="290">
        <f t="shared" si="285"/>
        <v>6.6204955391328006E-3</v>
      </c>
      <c r="T60" s="288">
        <f t="shared" ref="T60:V60" si="358">T23/T$24*T$61</f>
        <v>8.9058815620701309E-3</v>
      </c>
      <c r="U60" s="288">
        <f t="shared" si="358"/>
        <v>2.9706094684750634E-3</v>
      </c>
      <c r="V60" s="289">
        <f t="shared" si="358"/>
        <v>1.8356303884105293E-2</v>
      </c>
      <c r="W60" s="290">
        <f t="shared" si="287"/>
        <v>6.6446810085622338E-3</v>
      </c>
      <c r="X60" s="288">
        <f t="shared" ref="X60:Z60" si="359">X23/X$24*X$61</f>
        <v>9.0018712691799993E-3</v>
      </c>
      <c r="Y60" s="288">
        <f t="shared" si="359"/>
        <v>3.0140237211765957E-3</v>
      </c>
      <c r="Z60" s="289">
        <f t="shared" si="359"/>
        <v>1.850705950109497E-2</v>
      </c>
      <c r="AA60" s="290">
        <f t="shared" si="289"/>
        <v>6.6754120216851124E-3</v>
      </c>
      <c r="AB60" s="288">
        <f t="shared" ref="AB60:AD60" si="360">AB23/AB$24*AB$61</f>
        <v>8.2108979634434674E-3</v>
      </c>
      <c r="AC60" s="288">
        <f t="shared" si="360"/>
        <v>2.9041124782242826E-3</v>
      </c>
      <c r="AD60" s="289">
        <f t="shared" si="360"/>
        <v>1.7334215659312639E-2</v>
      </c>
      <c r="AE60" s="290">
        <f t="shared" si="291"/>
        <v>6.2844970246379306E-3</v>
      </c>
      <c r="AF60" s="288">
        <f t="shared" ref="AF60:AH60" si="361">AF23/AF$24*AF$61</f>
        <v>7.1893137944140564E-3</v>
      </c>
      <c r="AG60" s="288">
        <f t="shared" si="361"/>
        <v>2.9876861330408798E-3</v>
      </c>
      <c r="AH60" s="289">
        <f t="shared" si="361"/>
        <v>1.7187873947834675E-2</v>
      </c>
      <c r="AI60" s="290">
        <f t="shared" si="293"/>
        <v>6.1148067556808907E-3</v>
      </c>
      <c r="AJ60" s="288">
        <f t="shared" ref="AJ60:AL60" si="362">AJ23/AJ$24*AJ$61</f>
        <v>8.4307090580877462E-3</v>
      </c>
      <c r="AK60" s="288">
        <f t="shared" si="362"/>
        <v>3.1028147788881412E-3</v>
      </c>
      <c r="AL60" s="289">
        <f t="shared" si="362"/>
        <v>1.8796310293041886E-2</v>
      </c>
      <c r="AM60" s="290">
        <f t="shared" si="295"/>
        <v>6.65324255591192E-3</v>
      </c>
      <c r="AN60" s="158">
        <f t="shared" si="296"/>
        <v>8.0261871007291652E-3</v>
      </c>
      <c r="AO60" s="158">
        <f t="shared" si="297"/>
        <v>3.2111324752108761E-3</v>
      </c>
      <c r="AP60" s="159">
        <f t="shared" si="298"/>
        <v>1.8068439424266253E-2</v>
      </c>
      <c r="AQ60" s="157">
        <f t="shared" si="279"/>
        <v>6.5541169799951948E-3</v>
      </c>
      <c r="AR60" s="158">
        <f t="shared" si="299"/>
        <v>7.9347591012637886E-3</v>
      </c>
      <c r="AS60" s="158">
        <f t="shared" si="300"/>
        <v>3.2848394704691197E-3</v>
      </c>
      <c r="AT60" s="159">
        <f t="shared" si="301"/>
        <v>1.8093070574495468E-2</v>
      </c>
      <c r="AU60" s="157">
        <f t="shared" si="302"/>
        <v>6.5861643675025477E-3</v>
      </c>
      <c r="AV60" s="158">
        <f t="shared" si="303"/>
        <v>7.843331101798412E-3</v>
      </c>
      <c r="AW60" s="158">
        <f t="shared" si="304"/>
        <v>3.3585464657273634E-3</v>
      </c>
      <c r="AX60" s="159">
        <f t="shared" si="305"/>
        <v>1.8117701724724683E-2</v>
      </c>
      <c r="AY60" s="157">
        <f t="shared" si="306"/>
        <v>6.6182117550099145E-3</v>
      </c>
      <c r="AZ60" s="158">
        <f t="shared" si="307"/>
        <v>7.7519031023330354E-3</v>
      </c>
      <c r="BA60" s="158">
        <f t="shared" si="308"/>
        <v>3.4322534609856348E-3</v>
      </c>
      <c r="BB60" s="159">
        <f t="shared" si="309"/>
        <v>1.8142332874953891E-2</v>
      </c>
      <c r="BC60" s="157">
        <f t="shared" si="310"/>
        <v>6.6502591425172813E-3</v>
      </c>
      <c r="BD60" s="158">
        <f t="shared" si="311"/>
        <v>7.6604751028676865E-3</v>
      </c>
      <c r="BE60" s="158">
        <f t="shared" si="312"/>
        <v>3.5059604562438784E-3</v>
      </c>
      <c r="BF60" s="159">
        <f t="shared" si="313"/>
        <v>1.8166964025183106E-2</v>
      </c>
      <c r="BG60" s="157">
        <f t="shared" si="314"/>
        <v>6.6823065300246343E-3</v>
      </c>
      <c r="BH60" s="158">
        <f t="shared" si="315"/>
        <v>7.5690471034023099E-3</v>
      </c>
      <c r="BI60" s="158">
        <f t="shared" si="316"/>
        <v>3.5796674515021221E-3</v>
      </c>
      <c r="BJ60" s="159">
        <f t="shared" si="317"/>
        <v>1.8191595175412321E-2</v>
      </c>
      <c r="BK60" s="157">
        <f t="shared" si="318"/>
        <v>6.7143539175320011E-3</v>
      </c>
      <c r="BL60" s="158">
        <f t="shared" si="319"/>
        <v>7.4776191039369333E-3</v>
      </c>
      <c r="BM60" s="158">
        <f t="shared" si="320"/>
        <v>3.6533744467603657E-3</v>
      </c>
      <c r="BN60" s="159">
        <f t="shared" si="321"/>
        <v>1.8216226325641537E-2</v>
      </c>
      <c r="BO60" s="157">
        <f t="shared" si="322"/>
        <v>6.7464013050393679E-3</v>
      </c>
    </row>
    <row r="61" spans="2:69" ht="29" x14ac:dyDescent="0.35">
      <c r="B61" t="str">
        <f t="shared" si="278"/>
        <v>Összesen</v>
      </c>
      <c r="D61" s="152" t="s">
        <v>126</v>
      </c>
      <c r="E61" s="152"/>
      <c r="F61" s="153"/>
      <c r="G61" s="109" t="s">
        <v>130</v>
      </c>
      <c r="H61" s="291">
        <f>H24/H31</f>
        <v>5.8121860344494056E-2</v>
      </c>
      <c r="I61" s="291">
        <f t="shared" ref="I61:K61" si="363">I24/I31</f>
        <v>3.6921665226589462E-2</v>
      </c>
      <c r="J61" s="291">
        <f t="shared" si="363"/>
        <v>0.13256559438100896</v>
      </c>
      <c r="K61" s="291">
        <f t="shared" si="363"/>
        <v>5.6828329364165882E-2</v>
      </c>
      <c r="L61" s="291">
        <f>L24/L31</f>
        <v>6.2532488221002575E-2</v>
      </c>
      <c r="M61" s="291">
        <f t="shared" ref="M61:O61" si="364">M24/M31</f>
        <v>3.6936431925684757E-2</v>
      </c>
      <c r="N61" s="291">
        <f t="shared" si="364"/>
        <v>0.13672404411630731</v>
      </c>
      <c r="O61" s="291">
        <f t="shared" si="364"/>
        <v>5.8312736319592454E-2</v>
      </c>
      <c r="P61" s="291">
        <f>P24/P31</f>
        <v>6.6615122222955458E-2</v>
      </c>
      <c r="Q61" s="291">
        <f t="shared" ref="Q61:S61" si="365">Q24/Q31</f>
        <v>3.8156322707811274E-2</v>
      </c>
      <c r="R61" s="291">
        <f t="shared" si="365"/>
        <v>0.12908288571133936</v>
      </c>
      <c r="S61" s="291">
        <f t="shared" si="365"/>
        <v>5.9356128912313316E-2</v>
      </c>
      <c r="T61" s="291">
        <f>T24/T31</f>
        <v>6.2554979183859646E-2</v>
      </c>
      <c r="U61" s="291">
        <f t="shared" ref="U61:W61" si="366">U24/U31</f>
        <v>3.7325508861548728E-2</v>
      </c>
      <c r="V61" s="291">
        <f t="shared" si="366"/>
        <v>0.12999145708346821</v>
      </c>
      <c r="W61" s="291">
        <f t="shared" si="366"/>
        <v>5.7768600487301716E-2</v>
      </c>
      <c r="X61" s="291">
        <f>X24/X31</f>
        <v>6.1331096081340158E-2</v>
      </c>
      <c r="Y61" s="291">
        <f t="shared" ref="Y61:AA61" si="367">Y24/Y31</f>
        <v>3.5553437900736409E-2</v>
      </c>
      <c r="Z61" s="291">
        <f t="shared" si="367"/>
        <v>0.12838485103205502</v>
      </c>
      <c r="AA61" s="291">
        <f t="shared" si="367"/>
        <v>5.5870691160019574E-2</v>
      </c>
      <c r="AB61" s="291">
        <f>AB24/AB31</f>
        <v>6.1236237630668343E-2</v>
      </c>
      <c r="AC61" s="291">
        <f t="shared" ref="AC61:AE61" si="368">AC24/AC31</f>
        <v>3.6353886392441977E-2</v>
      </c>
      <c r="AD61" s="291">
        <f t="shared" si="368"/>
        <v>0.12601103539622627</v>
      </c>
      <c r="AE61" s="291">
        <f t="shared" si="368"/>
        <v>5.6058945703136208E-2</v>
      </c>
      <c r="AF61" s="291">
        <f>AF24/AF31</f>
        <v>5.8487201494752658E-2</v>
      </c>
      <c r="AG61" s="291">
        <f t="shared" ref="AG61:AI61" si="369">AG24/AG31</f>
        <v>3.5815518680810801E-2</v>
      </c>
      <c r="AH61" s="291">
        <f t="shared" si="369"/>
        <v>0.12111261657457993</v>
      </c>
      <c r="AI61" s="291">
        <f t="shared" si="369"/>
        <v>5.4187058461375878E-2</v>
      </c>
      <c r="AJ61" s="291">
        <f>AJ24/AJ31</f>
        <v>5.5317906471334097E-2</v>
      </c>
      <c r="AK61" s="291">
        <f t="shared" ref="AK61:AM61" si="370">AK24/AK31</f>
        <v>3.4672877408959614E-2</v>
      </c>
      <c r="AL61" s="291">
        <f t="shared" si="370"/>
        <v>0.11714637927280275</v>
      </c>
      <c r="AM61" s="291">
        <f t="shared" si="370"/>
        <v>5.216449287579205E-2</v>
      </c>
      <c r="AN61" s="152">
        <f>SUM(AN54:AN60)</f>
        <v>5.7709541047939426E-2</v>
      </c>
      <c r="AO61" s="152">
        <f t="shared" ref="AO61:BO61" si="371">SUM(AO54:AO60)</f>
        <v>3.4938806449428338E-2</v>
      </c>
      <c r="AP61" s="152">
        <f t="shared" si="371"/>
        <v>0.11708376149260749</v>
      </c>
      <c r="AQ61" s="152">
        <f t="shared" si="371"/>
        <v>5.2832763785577684E-2</v>
      </c>
      <c r="AR61" s="152">
        <f t="shared" si="371"/>
        <v>5.7028414290525686E-2</v>
      </c>
      <c r="AS61" s="152">
        <f t="shared" si="371"/>
        <v>3.4599217629729465E-2</v>
      </c>
      <c r="AT61" s="152">
        <f t="shared" si="371"/>
        <v>0.11474074005852591</v>
      </c>
      <c r="AU61" s="152">
        <f t="shared" si="371"/>
        <v>5.2058183980047815E-2</v>
      </c>
      <c r="AV61" s="152">
        <f t="shared" si="371"/>
        <v>5.6347287533111953E-2</v>
      </c>
      <c r="AW61" s="152">
        <f t="shared" si="371"/>
        <v>3.4259628810030696E-2</v>
      </c>
      <c r="AX61" s="152">
        <f t="shared" si="371"/>
        <v>0.11239771862444455</v>
      </c>
      <c r="AY61" s="152">
        <f t="shared" si="371"/>
        <v>5.1283604174517911E-2</v>
      </c>
      <c r="AZ61" s="152">
        <f t="shared" si="371"/>
        <v>5.5666160775698331E-2</v>
      </c>
      <c r="BA61" s="152">
        <f t="shared" si="371"/>
        <v>3.3920039990331975E-2</v>
      </c>
      <c r="BB61" s="152">
        <f t="shared" si="371"/>
        <v>0.11005469719036351</v>
      </c>
      <c r="BC61" s="152">
        <f t="shared" si="371"/>
        <v>5.0509024368987923E-2</v>
      </c>
      <c r="BD61" s="152">
        <f t="shared" si="371"/>
        <v>5.4985034018284612E-2</v>
      </c>
      <c r="BE61" s="152">
        <f t="shared" si="371"/>
        <v>3.3580451170633102E-2</v>
      </c>
      <c r="BF61" s="152">
        <f t="shared" si="371"/>
        <v>0.10771167575628193</v>
      </c>
      <c r="BG61" s="152">
        <f t="shared" si="371"/>
        <v>4.9734444563458054E-2</v>
      </c>
      <c r="BH61" s="152">
        <f t="shared" si="371"/>
        <v>5.4303907260870879E-2</v>
      </c>
      <c r="BI61" s="152">
        <f t="shared" si="371"/>
        <v>3.3240862350934333E-2</v>
      </c>
      <c r="BJ61" s="152">
        <f t="shared" si="371"/>
        <v>0.1053686543222008</v>
      </c>
      <c r="BK61" s="152">
        <f t="shared" si="371"/>
        <v>4.895986475792817E-2</v>
      </c>
      <c r="BL61" s="152">
        <f t="shared" si="371"/>
        <v>5.3622780503457257E-2</v>
      </c>
      <c r="BM61" s="152">
        <f t="shared" si="371"/>
        <v>3.2901273531235516E-2</v>
      </c>
      <c r="BN61" s="152">
        <f t="shared" si="371"/>
        <v>0.10302563288811897</v>
      </c>
      <c r="BO61" s="152">
        <f t="shared" si="371"/>
        <v>4.8185284952398155E-2</v>
      </c>
    </row>
    <row r="65" spans="1:50" x14ac:dyDescent="0.35">
      <c r="A65" t="s">
        <v>93</v>
      </c>
    </row>
    <row r="66" spans="1:50" x14ac:dyDescent="0.35">
      <c r="D66" s="162">
        <v>2010</v>
      </c>
      <c r="E66" s="30">
        <f>D66+1</f>
        <v>2011</v>
      </c>
      <c r="F66" s="30">
        <f t="shared" ref="F66:S66" si="372">E66+1</f>
        <v>2012</v>
      </c>
      <c r="G66" s="30">
        <f t="shared" si="372"/>
        <v>2013</v>
      </c>
      <c r="H66" s="30">
        <f t="shared" si="372"/>
        <v>2014</v>
      </c>
      <c r="I66" s="30">
        <f t="shared" si="372"/>
        <v>2015</v>
      </c>
      <c r="J66" s="30">
        <f t="shared" si="372"/>
        <v>2016</v>
      </c>
      <c r="K66" s="30">
        <f t="shared" si="372"/>
        <v>2017</v>
      </c>
      <c r="L66" s="30">
        <f t="shared" si="372"/>
        <v>2018</v>
      </c>
      <c r="M66" s="56">
        <f t="shared" si="372"/>
        <v>2019</v>
      </c>
      <c r="N66" s="55">
        <f t="shared" si="372"/>
        <v>2020</v>
      </c>
      <c r="O66" s="30">
        <f t="shared" si="372"/>
        <v>2021</v>
      </c>
      <c r="P66" s="30">
        <f t="shared" si="372"/>
        <v>2022</v>
      </c>
      <c r="Q66" s="30">
        <f t="shared" si="372"/>
        <v>2023</v>
      </c>
      <c r="R66" s="30">
        <f t="shared" si="372"/>
        <v>2024</v>
      </c>
      <c r="S66" s="56">
        <f t="shared" si="372"/>
        <v>2025</v>
      </c>
    </row>
    <row r="67" spans="1:50" x14ac:dyDescent="0.35">
      <c r="D67" s="163" t="str">
        <f>D40</f>
        <v>Upstream</v>
      </c>
      <c r="E67" s="71" t="str">
        <f t="shared" ref="E67" si="373">H40</f>
        <v>Upstream</v>
      </c>
      <c r="F67" s="71" t="str">
        <f t="shared" ref="F67" si="374">L40</f>
        <v>Upstream</v>
      </c>
      <c r="G67" s="71" t="str">
        <f t="shared" ref="G67" si="375">P40</f>
        <v>Upstream</v>
      </c>
      <c r="H67" s="71" t="str">
        <f t="shared" ref="H67" si="376">T40</f>
        <v>Upstream</v>
      </c>
      <c r="I67" s="71" t="str">
        <f t="shared" ref="I67" si="377">X40</f>
        <v>Upstream</v>
      </c>
      <c r="J67" s="71" t="str">
        <f t="shared" ref="J67" si="378">AB40</f>
        <v>Upstream</v>
      </c>
      <c r="K67" s="71" t="str">
        <f t="shared" ref="K67" si="379">AF40</f>
        <v>Upstream</v>
      </c>
      <c r="L67" s="71" t="str">
        <f t="shared" ref="L67" si="380">AJ40</f>
        <v>Upstream</v>
      </c>
      <c r="M67" s="72" t="str">
        <f t="shared" ref="M67" si="381">AN40</f>
        <v>Upstream</v>
      </c>
      <c r="N67" s="70" t="str">
        <f>M67</f>
        <v>Upstream</v>
      </c>
      <c r="O67" s="71" t="str">
        <f>N67</f>
        <v>Upstream</v>
      </c>
      <c r="P67" s="71" t="str">
        <f t="shared" ref="P67:S67" si="382">O67</f>
        <v>Upstream</v>
      </c>
      <c r="Q67" s="71" t="str">
        <f t="shared" si="382"/>
        <v>Upstream</v>
      </c>
      <c r="R67" s="71" t="str">
        <f t="shared" si="382"/>
        <v>Upstream</v>
      </c>
      <c r="S67" s="73" t="str">
        <f t="shared" si="382"/>
        <v>Upstream</v>
      </c>
    </row>
    <row r="68" spans="1:50" ht="14.5" customHeight="1" x14ac:dyDescent="0.35">
      <c r="B68" t="str">
        <f t="shared" ref="B68:B78" si="383">B42</f>
        <v>0 FEGYVERES SZERVEK FOGLALKOZÁSAI</v>
      </c>
      <c r="C68" t="s">
        <v>95</v>
      </c>
      <c r="D68" s="164">
        <f>D42</f>
        <v>0</v>
      </c>
      <c r="E68" s="292">
        <f>H42</f>
        <v>9.9519145518636885E-6</v>
      </c>
      <c r="F68" s="171">
        <f>L42</f>
        <v>4.8904703534170599E-6</v>
      </c>
      <c r="G68" s="171">
        <f>P42</f>
        <v>1.0449001280685069E-5</v>
      </c>
      <c r="H68" s="171">
        <f>T42</f>
        <v>1.5830668089002268E-5</v>
      </c>
      <c r="I68" s="171">
        <f>X42</f>
        <v>2.0594125348499527E-6</v>
      </c>
      <c r="J68" s="170">
        <f>AB42</f>
        <v>1.1837159577136348E-5</v>
      </c>
      <c r="K68" s="170">
        <f>AF42</f>
        <v>2.0477708198741188E-6</v>
      </c>
      <c r="L68" s="170">
        <f>AJ42</f>
        <v>0</v>
      </c>
      <c r="M68" s="170" cm="1">
        <f t="array" ref="M68:S68">TREND(E68:L68,$E$66:$L$66,$M$66:$S$66)</f>
        <v>2.1252453546627588E-6</v>
      </c>
      <c r="N68" s="172">
        <v>1.012344399953756E-6</v>
      </c>
      <c r="O68" s="172">
        <v>-1.0055655475524686E-7</v>
      </c>
      <c r="P68" s="172">
        <v>-1.2134575094642497E-6</v>
      </c>
      <c r="Q68" s="172">
        <v>-2.3263584641732525E-6</v>
      </c>
      <c r="R68" s="172">
        <v>-3.4392594188822553E-6</v>
      </c>
      <c r="S68" s="172">
        <v>-4.5521603735912582E-6</v>
      </c>
    </row>
    <row r="69" spans="1:50" x14ac:dyDescent="0.35">
      <c r="B69" t="str">
        <f t="shared" si="383"/>
        <v>1 GAZDASÁGI, IGAZGATÁSI, ÉRDEK-KÉPVISELETI VEZETŐK, TÖRVÉNYHOZÓK</v>
      </c>
      <c r="C69" t="s">
        <v>96</v>
      </c>
      <c r="D69" s="164">
        <f t="shared" ref="D69:D77" si="384">D43</f>
        <v>0</v>
      </c>
      <c r="E69" s="292">
        <f t="shared" ref="E69:E77" si="385">H43</f>
        <v>3.3168582903528765E-3</v>
      </c>
      <c r="F69" s="171">
        <f t="shared" ref="F69:F77" si="386">L43</f>
        <v>3.2260476733350974E-3</v>
      </c>
      <c r="G69" s="171">
        <f t="shared" ref="G69:G77" si="387">P43</f>
        <v>3.2764213044882105E-3</v>
      </c>
      <c r="H69" s="171">
        <f t="shared" ref="H69:H77" si="388">T43</f>
        <v>3.3988821307756648E-3</v>
      </c>
      <c r="I69" s="171">
        <f t="shared" ref="I69:I77" si="389">X43</f>
        <v>2.9536452733519738E-3</v>
      </c>
      <c r="J69" s="170">
        <f t="shared" ref="J69:J77" si="390">AB43</f>
        <v>3.0220442476305231E-3</v>
      </c>
      <c r="K69" s="170">
        <f t="shared" ref="K69:K77" si="391">AF43</f>
        <v>3.1276832394429343E-3</v>
      </c>
      <c r="L69" s="170">
        <f t="shared" ref="L69:L77" si="392">AJ43</f>
        <v>2.0353698179233601E-3</v>
      </c>
      <c r="M69" s="170" cm="1">
        <f t="array" ref="M69:S69">TREND(E69:L69,$E$66:$L$66,$M$66:$S$66)</f>
        <v>2.4729792022805674E-3</v>
      </c>
      <c r="N69" s="172">
        <v>2.3459481367512081E-3</v>
      </c>
      <c r="O69" s="172">
        <v>2.2189170712218487E-3</v>
      </c>
      <c r="P69" s="172">
        <v>2.0918860056925448E-3</v>
      </c>
      <c r="Q69" s="172">
        <v>1.9648549401631854E-3</v>
      </c>
      <c r="R69" s="172">
        <v>1.8378238746338815E-3</v>
      </c>
      <c r="S69" s="172">
        <v>1.7107928091045221E-3</v>
      </c>
    </row>
    <row r="70" spans="1:50" x14ac:dyDescent="0.35">
      <c r="B70" t="str">
        <f t="shared" si="383"/>
        <v>2 FELSŐFOKÚ KÉPZETTSÉG ÖNÁLLÓ ALKALMAZÁSÁT IGÉNYLŐ FOGLALKOZÁSOK</v>
      </c>
      <c r="C70" t="s">
        <v>97</v>
      </c>
      <c r="D70" s="164">
        <f t="shared" si="384"/>
        <v>0</v>
      </c>
      <c r="E70" s="292">
        <f t="shared" si="385"/>
        <v>9.8682801930336031E-3</v>
      </c>
      <c r="F70" s="171">
        <f t="shared" si="386"/>
        <v>9.9335233818607319E-3</v>
      </c>
      <c r="G70" s="171">
        <f t="shared" si="387"/>
        <v>1.1063869210415479E-2</v>
      </c>
      <c r="H70" s="171">
        <f t="shared" si="388"/>
        <v>9.3366076563250675E-3</v>
      </c>
      <c r="I70" s="171">
        <f t="shared" si="389"/>
        <v>9.9302186240201873E-3</v>
      </c>
      <c r="J70" s="170">
        <f t="shared" si="390"/>
        <v>9.0542955833144319E-3</v>
      </c>
      <c r="K70" s="170">
        <f t="shared" si="391"/>
        <v>8.0225107856044392E-3</v>
      </c>
      <c r="L70" s="170">
        <f t="shared" si="392"/>
        <v>8.3627100357809691E-3</v>
      </c>
      <c r="M70" s="170" cm="1">
        <f t="array" ref="M70:S70">TREND(E70:L70,$E$66:$L$66,$M$66:$S$66)</f>
        <v>8.0788681483127123E-3</v>
      </c>
      <c r="N70" s="172">
        <v>7.7749495293167881E-3</v>
      </c>
      <c r="O70" s="172">
        <v>7.4710309103208639E-3</v>
      </c>
      <c r="P70" s="172">
        <v>7.1671122913249397E-3</v>
      </c>
      <c r="Q70" s="172">
        <v>6.8631936723290154E-3</v>
      </c>
      <c r="R70" s="172">
        <v>6.5592750533330912E-3</v>
      </c>
      <c r="S70" s="172">
        <v>6.255356434337167E-3</v>
      </c>
      <c r="AA70" s="59"/>
      <c r="AW70" s="59"/>
      <c r="AX70" s="59"/>
    </row>
    <row r="71" spans="1:50" x14ac:dyDescent="0.35">
      <c r="B71" t="str">
        <f t="shared" si="383"/>
        <v>3 EGYÉB FELSŐFOKÚ VAGY KÖZÉPFOKÚ KÉPZETTSÉGET IGÉNYLŐ FOGLALKOZÁSOK</v>
      </c>
      <c r="C71" t="s">
        <v>98</v>
      </c>
      <c r="D71" s="164">
        <f t="shared" si="384"/>
        <v>0</v>
      </c>
      <c r="E71" s="292">
        <f t="shared" si="385"/>
        <v>1.0351330814743294E-2</v>
      </c>
      <c r="F71" s="171">
        <f t="shared" si="386"/>
        <v>1.085987627620499E-2</v>
      </c>
      <c r="G71" s="171">
        <f t="shared" si="387"/>
        <v>1.2184144172965044E-2</v>
      </c>
      <c r="H71" s="171">
        <f t="shared" si="388"/>
        <v>1.2281206151046687E-2</v>
      </c>
      <c r="I71" s="171">
        <f t="shared" si="389"/>
        <v>1.1303846784765105E-2</v>
      </c>
      <c r="J71" s="170">
        <f t="shared" si="390"/>
        <v>1.2118118041217202E-2</v>
      </c>
      <c r="K71" s="170">
        <f t="shared" si="391"/>
        <v>1.1549918889086802E-2</v>
      </c>
      <c r="L71" s="170">
        <f t="shared" si="392"/>
        <v>1.0693392121451763E-2</v>
      </c>
      <c r="M71" s="170" cm="1">
        <f t="array" ref="M71:S71">TREND(E71:L71,$E$66:$L$66,$M$66:$S$66)</f>
        <v>1.1667865109105294E-2</v>
      </c>
      <c r="N71" s="172">
        <v>1.1723450876365324E-2</v>
      </c>
      <c r="O71" s="172">
        <v>1.1779036643625368E-2</v>
      </c>
      <c r="P71" s="172">
        <v>1.1834622410885398E-2</v>
      </c>
      <c r="Q71" s="172">
        <v>1.1890208178145442E-2</v>
      </c>
      <c r="R71" s="172">
        <v>1.1945793945405486E-2</v>
      </c>
      <c r="S71" s="172">
        <v>1.2001379712665516E-2</v>
      </c>
      <c r="AA71" s="59"/>
      <c r="AW71" s="59"/>
      <c r="AX71" s="59"/>
    </row>
    <row r="72" spans="1:50" x14ac:dyDescent="0.35">
      <c r="B72" t="str">
        <f t="shared" si="383"/>
        <v>4 IRODAI ÉS ÜGYVITELI (ÜGYFÉLKAPCSOLATI) FOGLALKOZÁSOK</v>
      </c>
      <c r="C72" t="s">
        <v>99</v>
      </c>
      <c r="D72" s="164">
        <f t="shared" si="384"/>
        <v>0</v>
      </c>
      <c r="E72" s="292">
        <f t="shared" si="385"/>
        <v>9.0614095824440386E-3</v>
      </c>
      <c r="F72" s="171">
        <f t="shared" si="386"/>
        <v>9.8140002864232183E-3</v>
      </c>
      <c r="G72" s="171">
        <f t="shared" si="387"/>
        <v>9.4891134154633013E-3</v>
      </c>
      <c r="H72" s="171">
        <f t="shared" si="388"/>
        <v>8.9443274702862788E-3</v>
      </c>
      <c r="I72" s="171">
        <f t="shared" si="389"/>
        <v>8.5545310507404194E-3</v>
      </c>
      <c r="J72" s="170">
        <f t="shared" si="390"/>
        <v>8.3775756148421164E-3</v>
      </c>
      <c r="K72" s="170">
        <f t="shared" si="391"/>
        <v>8.4533617661059525E-3</v>
      </c>
      <c r="L72" s="170">
        <f t="shared" si="392"/>
        <v>8.1759466660278387E-3</v>
      </c>
      <c r="M72" s="170" cm="1">
        <f t="array" ref="M72:S72">TREND(E72:L72,$E$66:$L$66,$M$66:$S$66)</f>
        <v>7.9627559366536871E-3</v>
      </c>
      <c r="N72" s="172">
        <v>7.7636387600119039E-3</v>
      </c>
      <c r="O72" s="172">
        <v>7.5645215833701207E-3</v>
      </c>
      <c r="P72" s="172">
        <v>7.3654044067283375E-3</v>
      </c>
      <c r="Q72" s="172">
        <v>7.1662872300866098E-3</v>
      </c>
      <c r="R72" s="172">
        <v>6.9671700534448266E-3</v>
      </c>
      <c r="S72" s="172">
        <v>6.7680528768030435E-3</v>
      </c>
      <c r="AA72" s="59"/>
      <c r="AW72" s="59"/>
      <c r="AX72" s="59"/>
    </row>
    <row r="73" spans="1:50" x14ac:dyDescent="0.35">
      <c r="B73" t="str">
        <f t="shared" si="383"/>
        <v>5 KERESKEDELMI ÉS SZOLGÁLTATÁSI FOGLALKOZÁSOK</v>
      </c>
      <c r="C73" t="s">
        <v>100</v>
      </c>
      <c r="D73" s="164">
        <f t="shared" si="384"/>
        <v>0</v>
      </c>
      <c r="E73" s="292">
        <f t="shared" si="385"/>
        <v>3.6253676414606507E-3</v>
      </c>
      <c r="F73" s="171">
        <f t="shared" si="386"/>
        <v>4.8444021226878714E-3</v>
      </c>
      <c r="G73" s="171">
        <f t="shared" si="387"/>
        <v>5.8332817732104098E-3</v>
      </c>
      <c r="H73" s="171">
        <f t="shared" si="388"/>
        <v>4.4427639229778493E-3</v>
      </c>
      <c r="I73" s="171">
        <f t="shared" si="389"/>
        <v>4.2919948019781579E-3</v>
      </c>
      <c r="J73" s="170">
        <f t="shared" si="390"/>
        <v>4.0902608615290105E-3</v>
      </c>
      <c r="K73" s="170">
        <f t="shared" si="391"/>
        <v>4.0754734857134716E-3</v>
      </c>
      <c r="L73" s="170">
        <f t="shared" si="392"/>
        <v>3.5989574283283757E-3</v>
      </c>
      <c r="M73" s="170" cm="1">
        <f t="array" ref="M73:S73">TREND(E73:L73,$E$66:$L$66,$M$66:$S$66)</f>
        <v>3.8462406190477583E-3</v>
      </c>
      <c r="N73" s="172">
        <v>3.7342245888948855E-3</v>
      </c>
      <c r="O73" s="172">
        <v>3.6222085587420128E-3</v>
      </c>
      <c r="P73" s="172">
        <v>3.51019252858914E-3</v>
      </c>
      <c r="Q73" s="172">
        <v>3.3981764984362395E-3</v>
      </c>
      <c r="R73" s="172">
        <v>3.2861604682833667E-3</v>
      </c>
      <c r="S73" s="172">
        <v>3.174144438130494E-3</v>
      </c>
      <c r="AA73" s="59"/>
      <c r="AW73" s="59"/>
      <c r="AX73" s="59"/>
    </row>
    <row r="74" spans="1:50" x14ac:dyDescent="0.35">
      <c r="B74" t="str">
        <f t="shared" si="383"/>
        <v>6 MEZŐGAZDASÁGI ÉS ERDŐGAZDÁLKODÁSI FOGLALKOZÁSOK</v>
      </c>
      <c r="C74" t="s">
        <v>101</v>
      </c>
      <c r="D74" s="164">
        <f t="shared" si="384"/>
        <v>0</v>
      </c>
      <c r="E74" s="292">
        <f t="shared" si="385"/>
        <v>8.1226761040422823E-3</v>
      </c>
      <c r="F74" s="171">
        <f t="shared" si="386"/>
        <v>8.8110626263444482E-3</v>
      </c>
      <c r="G74" s="171">
        <f t="shared" si="387"/>
        <v>7.5612219558697184E-3</v>
      </c>
      <c r="H74" s="171">
        <f t="shared" si="388"/>
        <v>7.323851285009066E-3</v>
      </c>
      <c r="I74" s="171">
        <f t="shared" si="389"/>
        <v>7.791653016091654E-3</v>
      </c>
      <c r="J74" s="170">
        <f t="shared" si="390"/>
        <v>8.990409736773123E-3</v>
      </c>
      <c r="K74" s="170">
        <f t="shared" si="391"/>
        <v>8.4369795995469597E-3</v>
      </c>
      <c r="L74" s="170">
        <f t="shared" si="392"/>
        <v>8.1979371755353057E-3</v>
      </c>
      <c r="M74" s="170" cm="1">
        <f t="array" ref="M74:S74">TREND(E74:L74,$E$66:$L$66,$M$66:$S$66)</f>
        <v>8.3372477288438801E-3</v>
      </c>
      <c r="N74" s="172">
        <v>8.3778641269421639E-3</v>
      </c>
      <c r="O74" s="172">
        <v>8.4184805250404615E-3</v>
      </c>
      <c r="P74" s="172">
        <v>8.4590969231387592E-3</v>
      </c>
      <c r="Q74" s="172">
        <v>8.4997133212370429E-3</v>
      </c>
      <c r="R74" s="172">
        <v>8.5403297193353406E-3</v>
      </c>
      <c r="S74" s="172">
        <v>8.5809461174336243E-3</v>
      </c>
      <c r="AA74" s="59"/>
      <c r="AW74" s="59"/>
      <c r="AX74" s="59"/>
    </row>
    <row r="75" spans="1:50" x14ac:dyDescent="0.35">
      <c r="B75" t="str">
        <f t="shared" si="383"/>
        <v>7 IPARI ÉS ÉPÍTŐIPARI FOGLALKOZÁSOK</v>
      </c>
      <c r="C75" t="s">
        <v>103</v>
      </c>
      <c r="D75" s="164">
        <f t="shared" si="384"/>
        <v>0</v>
      </c>
      <c r="E75" s="292">
        <f t="shared" si="385"/>
        <v>3.7890000826499479E-3</v>
      </c>
      <c r="F75" s="171">
        <f t="shared" si="386"/>
        <v>4.3342282554194034E-3</v>
      </c>
      <c r="G75" s="171">
        <f t="shared" si="387"/>
        <v>4.6859205646225636E-3</v>
      </c>
      <c r="H75" s="171">
        <f t="shared" si="388"/>
        <v>4.258355485774413E-3</v>
      </c>
      <c r="I75" s="171">
        <f t="shared" si="389"/>
        <v>4.37678887460872E-3</v>
      </c>
      <c r="J75" s="170">
        <f t="shared" si="390"/>
        <v>4.098529465645393E-3</v>
      </c>
      <c r="K75" s="170">
        <f t="shared" si="391"/>
        <v>3.7956660808858714E-3</v>
      </c>
      <c r="L75" s="170">
        <f t="shared" si="392"/>
        <v>3.82081203665725E-3</v>
      </c>
      <c r="M75" s="170" cm="1">
        <f t="array" ref="M75:S75">TREND(E75:L75,$E$66:$L$66,$M$66:$S$66)</f>
        <v>3.9245268681375733E-3</v>
      </c>
      <c r="N75" s="172">
        <v>3.8755522597719305E-3</v>
      </c>
      <c r="O75" s="172">
        <v>3.8265776514062877E-3</v>
      </c>
      <c r="P75" s="172">
        <v>3.7776030430406587E-3</v>
      </c>
      <c r="Q75" s="172">
        <v>3.7286284346750159E-3</v>
      </c>
      <c r="R75" s="172">
        <v>3.6796538263093731E-3</v>
      </c>
      <c r="S75" s="172">
        <v>3.6306792179437303E-3</v>
      </c>
      <c r="AA75" s="59"/>
      <c r="AW75" s="59"/>
      <c r="AX75" s="59"/>
    </row>
    <row r="76" spans="1:50" x14ac:dyDescent="0.35">
      <c r="B76" t="str">
        <f t="shared" si="383"/>
        <v>8 GÉPKEZELŐK, ÖSSZESZERELŐK, JÁRMŰVEZETŐK</v>
      </c>
      <c r="C76" t="s">
        <v>102</v>
      </c>
      <c r="D76" s="164">
        <f t="shared" si="384"/>
        <v>0</v>
      </c>
      <c r="E76" s="292">
        <f t="shared" si="385"/>
        <v>4.6913707963429727E-3</v>
      </c>
      <c r="F76" s="171">
        <f t="shared" si="386"/>
        <v>5.1034992420119071E-3</v>
      </c>
      <c r="G76" s="171">
        <f t="shared" si="387"/>
        <v>5.8479915322948691E-3</v>
      </c>
      <c r="H76" s="171">
        <f t="shared" si="388"/>
        <v>5.8139070858532777E-3</v>
      </c>
      <c r="I76" s="171">
        <f t="shared" si="389"/>
        <v>5.8358378857121963E-3</v>
      </c>
      <c r="J76" s="170">
        <f t="shared" si="390"/>
        <v>5.4912235126583255E-3</v>
      </c>
      <c r="K76" s="170">
        <f t="shared" si="391"/>
        <v>5.3948931803747633E-3</v>
      </c>
      <c r="L76" s="170">
        <f t="shared" si="392"/>
        <v>5.1053853101200109E-3</v>
      </c>
      <c r="M76" s="170" cm="1">
        <f t="array" ref="M76:S76">TREND(E76:L76,$E$66:$L$66,$M$66:$S$66)</f>
        <v>5.5876581054497693E-3</v>
      </c>
      <c r="N76" s="172">
        <v>5.6270235581783734E-3</v>
      </c>
      <c r="O76" s="172">
        <v>5.6663890109069776E-3</v>
      </c>
      <c r="P76" s="172">
        <v>5.7057544636355817E-3</v>
      </c>
      <c r="Q76" s="172">
        <v>5.7451199163641858E-3</v>
      </c>
      <c r="R76" s="172">
        <v>5.78448536909279E-3</v>
      </c>
      <c r="S76" s="172">
        <v>5.8238508218213941E-3</v>
      </c>
      <c r="AA76" s="59"/>
      <c r="AW76" s="59"/>
      <c r="AX76" s="59"/>
    </row>
    <row r="77" spans="1:50" x14ac:dyDescent="0.35">
      <c r="B77" t="str">
        <f t="shared" si="383"/>
        <v>9 SZAKKÉPZETTSÉGET NEM IGÉNYLŐ (EGYSZERŰ) FOGLALKOZÁSOK</v>
      </c>
      <c r="C77" t="s">
        <v>104</v>
      </c>
      <c r="D77" s="164">
        <f t="shared" si="384"/>
        <v>0</v>
      </c>
      <c r="E77" s="292">
        <f t="shared" si="385"/>
        <v>5.285614924872525E-3</v>
      </c>
      <c r="F77" s="171">
        <f t="shared" si="386"/>
        <v>5.6009578863614896E-3</v>
      </c>
      <c r="G77" s="171">
        <f t="shared" si="387"/>
        <v>6.6627092923451777E-3</v>
      </c>
      <c r="H77" s="171">
        <f t="shared" si="388"/>
        <v>6.7392473277223391E-3</v>
      </c>
      <c r="I77" s="171">
        <f t="shared" si="389"/>
        <v>6.290520357536895E-3</v>
      </c>
      <c r="J77" s="170">
        <f t="shared" si="390"/>
        <v>5.9819434074810801E-3</v>
      </c>
      <c r="K77" s="170">
        <f t="shared" si="391"/>
        <v>5.6286666971715931E-3</v>
      </c>
      <c r="L77" s="170">
        <f t="shared" si="392"/>
        <v>5.3273958795092219E-3</v>
      </c>
      <c r="M77" s="170" cm="1">
        <f t="array" ref="M77:S77">TREND(E77:L77,$E$66:$L$66,$M$66:$S$66)</f>
        <v>5.829274084753415E-3</v>
      </c>
      <c r="N77" s="172">
        <v>5.8047501098930504E-3</v>
      </c>
      <c r="O77" s="172">
        <v>5.7802261350326928E-3</v>
      </c>
      <c r="P77" s="172">
        <v>5.7557021601723282E-3</v>
      </c>
      <c r="Q77" s="172">
        <v>5.7311781853119706E-3</v>
      </c>
      <c r="R77" s="172">
        <v>5.706654210451606E-3</v>
      </c>
      <c r="S77" s="172">
        <v>5.6821302355912484E-3</v>
      </c>
      <c r="AA77" s="59"/>
      <c r="AW77" s="59"/>
      <c r="AX77" s="59"/>
    </row>
    <row r="78" spans="1:50" x14ac:dyDescent="0.35">
      <c r="B78" t="str">
        <f t="shared" si="383"/>
        <v>Összesen</v>
      </c>
      <c r="C78" t="s">
        <v>105</v>
      </c>
      <c r="D78" s="165">
        <f>SUM(D68:D77)</f>
        <v>0</v>
      </c>
      <c r="E78" s="293">
        <f>SUM(E68:E77)</f>
        <v>5.8121860344494063E-2</v>
      </c>
      <c r="F78" s="173">
        <f t="shared" ref="F78:M78" si="393">SUM(F68:F77)</f>
        <v>6.2532488221002588E-2</v>
      </c>
      <c r="G78" s="173">
        <f t="shared" si="393"/>
        <v>6.6615122222955458E-2</v>
      </c>
      <c r="H78" s="173">
        <f t="shared" si="393"/>
        <v>6.2554979183859633E-2</v>
      </c>
      <c r="I78" s="173">
        <f t="shared" si="393"/>
        <v>6.1331096081340152E-2</v>
      </c>
      <c r="J78" s="173">
        <f t="shared" si="393"/>
        <v>6.123623763066835E-2</v>
      </c>
      <c r="K78" s="173">
        <f t="shared" si="393"/>
        <v>5.8487201494752658E-2</v>
      </c>
      <c r="L78" s="173">
        <f t="shared" si="393"/>
        <v>5.5317906471334083E-2</v>
      </c>
      <c r="M78" s="173">
        <f t="shared" si="393"/>
        <v>5.7709541047939315E-2</v>
      </c>
      <c r="N78" s="174">
        <f>SUM(N68:N77)</f>
        <v>5.7028414290525582E-2</v>
      </c>
      <c r="O78" s="175">
        <f t="shared" ref="O78:S78" si="394">SUM(O68:O77)</f>
        <v>5.6347287533111877E-2</v>
      </c>
      <c r="P78" s="175">
        <f t="shared" si="394"/>
        <v>5.5666160775698227E-2</v>
      </c>
      <c r="Q78" s="175">
        <f t="shared" si="394"/>
        <v>5.4985034018284536E-2</v>
      </c>
      <c r="R78" s="175">
        <f t="shared" si="394"/>
        <v>5.4303907260870879E-2</v>
      </c>
      <c r="S78" s="176">
        <f t="shared" si="394"/>
        <v>5.3622780503457146E-2</v>
      </c>
      <c r="AA78" s="59"/>
      <c r="AW78" s="59"/>
      <c r="AX78" s="59"/>
    </row>
    <row r="79" spans="1:50" x14ac:dyDescent="0.35">
      <c r="B79" t="s">
        <v>163</v>
      </c>
      <c r="D79" s="166"/>
      <c r="E79" s="174"/>
      <c r="F79" s="174"/>
      <c r="G79" s="174"/>
      <c r="H79" s="174"/>
      <c r="I79" s="174"/>
      <c r="J79" s="174"/>
      <c r="K79" s="174"/>
      <c r="L79" s="174"/>
      <c r="M79" s="174"/>
      <c r="N79" s="174"/>
      <c r="O79" s="175"/>
      <c r="P79" s="175"/>
      <c r="Q79" s="175"/>
      <c r="R79" s="175"/>
      <c r="S79" s="176"/>
      <c r="AA79" s="59"/>
      <c r="AW79" s="59"/>
      <c r="AX79" s="59"/>
    </row>
    <row r="80" spans="1:50" x14ac:dyDescent="0.35">
      <c r="D80" s="166"/>
      <c r="E80" s="174"/>
      <c r="F80" s="174"/>
      <c r="G80" s="174"/>
      <c r="H80" s="174"/>
      <c r="I80" s="174"/>
      <c r="J80" s="174"/>
      <c r="K80" s="174"/>
      <c r="L80" s="174"/>
      <c r="M80" s="174"/>
      <c r="N80" s="174"/>
      <c r="O80" s="175"/>
      <c r="P80" s="175"/>
      <c r="Q80" s="175"/>
      <c r="R80" s="175"/>
      <c r="S80" s="176"/>
      <c r="AA80" s="59"/>
      <c r="AW80" s="59"/>
      <c r="AX80" s="59"/>
    </row>
    <row r="81" spans="2:50" ht="14.5" customHeight="1" x14ac:dyDescent="0.35">
      <c r="B81" t="str">
        <f t="shared" ref="B81:B88" si="395">B54</f>
        <v>I1 Általános Iskola 0-7 osztály</v>
      </c>
      <c r="C81" t="s">
        <v>106</v>
      </c>
      <c r="D81" s="164" t="str">
        <f>D54</f>
        <v>Ė10 = E10 &lt;x10&gt;-1</v>
      </c>
      <c r="E81" s="292">
        <f>H54</f>
        <v>2.1683690744733766E-4</v>
      </c>
      <c r="F81" s="171">
        <f>L54</f>
        <v>2.4266513893655449E-4</v>
      </c>
      <c r="G81" s="171">
        <f>P54</f>
        <v>3.2736822459000694E-4</v>
      </c>
      <c r="H81" s="171">
        <f>T54</f>
        <v>2.7854437423268269E-4</v>
      </c>
      <c r="I81" s="171">
        <f>X54</f>
        <v>2.9583908761496715E-4</v>
      </c>
      <c r="J81" s="170">
        <f>AB54</f>
        <v>2.062799132192143E-4</v>
      </c>
      <c r="K81" s="170">
        <f>AF54</f>
        <v>2.3917963176129709E-4</v>
      </c>
      <c r="L81" s="170">
        <f>AJ54</f>
        <v>2.1709779598860717E-4</v>
      </c>
      <c r="M81" s="170" cm="1">
        <f t="array" ref="M81:S81">TREND(E81:L81,$E$66:$L$66,$M$66:$S$66)</f>
        <v>2.3360648046575304E-4</v>
      </c>
      <c r="N81" s="172">
        <v>2.2930205740840162E-4</v>
      </c>
      <c r="O81" s="172">
        <v>2.249976343510502E-4</v>
      </c>
      <c r="P81" s="172">
        <v>2.2069321129370052E-4</v>
      </c>
      <c r="Q81" s="172">
        <v>2.1638878823634911E-4</v>
      </c>
      <c r="R81" s="172">
        <v>2.1208436517899769E-4</v>
      </c>
      <c r="S81" s="172">
        <v>2.0777994212164627E-4</v>
      </c>
      <c r="AA81" s="59"/>
      <c r="AW81" s="59"/>
      <c r="AX81" s="59"/>
    </row>
    <row r="82" spans="2:50" x14ac:dyDescent="0.35">
      <c r="B82" t="str">
        <f t="shared" si="395"/>
        <v>I2 Általános Iskola 8 osztály</v>
      </c>
      <c r="C82" t="s">
        <v>107</v>
      </c>
      <c r="D82" s="164">
        <f t="shared" ref="D82:D87" si="396">D55</f>
        <v>0</v>
      </c>
      <c r="E82" s="292">
        <f t="shared" ref="E82:E87" si="397">H55</f>
        <v>7.3431732584703438E-3</v>
      </c>
      <c r="F82" s="171">
        <f t="shared" ref="F82:F87" si="398">L55</f>
        <v>7.9699995349637818E-3</v>
      </c>
      <c r="G82" s="171">
        <f t="shared" ref="G82:G87" si="399">P55</f>
        <v>7.2858958444543855E-3</v>
      </c>
      <c r="H82" s="171">
        <f t="shared" ref="H82:H87" si="400">T55</f>
        <v>7.2736266058933624E-3</v>
      </c>
      <c r="I82" s="171">
        <f t="shared" ref="I82:I87" si="401">X55</f>
        <v>7.2494007416981183E-3</v>
      </c>
      <c r="J82" s="170">
        <f t="shared" ref="J82:J87" si="402">AB55</f>
        <v>7.7952047712346213E-3</v>
      </c>
      <c r="K82" s="170">
        <f t="shared" ref="K82:K87" si="403">AF55</f>
        <v>7.098638502510031E-3</v>
      </c>
      <c r="L82" s="170">
        <f t="shared" ref="L82:L87" si="404">AJ55</f>
        <v>6.3847338880614933E-3</v>
      </c>
      <c r="M82" s="170" cm="1">
        <f t="array" ref="M82:S82">TREND(E82:L82,$E$66:$L$66,$M$66:$S$66)</f>
        <v>6.7878245091794187E-3</v>
      </c>
      <c r="N82" s="172">
        <v>6.6739890349057918E-3</v>
      </c>
      <c r="O82" s="172">
        <v>6.5601535606321648E-3</v>
      </c>
      <c r="P82" s="172">
        <v>6.4463180863585379E-3</v>
      </c>
      <c r="Q82" s="172">
        <v>6.3324826120848832E-3</v>
      </c>
      <c r="R82" s="172">
        <v>6.2186471378112562E-3</v>
      </c>
      <c r="S82" s="172">
        <v>6.1048116635376293E-3</v>
      </c>
      <c r="AA82" s="59"/>
      <c r="AW82" s="59"/>
      <c r="AX82" s="59"/>
    </row>
    <row r="83" spans="2:50" x14ac:dyDescent="0.35">
      <c r="B83" t="str">
        <f t="shared" si="395"/>
        <v>I3-I5 Szakiskola, Szakmunkásképző iskola, Szakközépiskola</v>
      </c>
      <c r="C83" t="s">
        <v>108</v>
      </c>
      <c r="D83" s="164">
        <f t="shared" si="396"/>
        <v>0</v>
      </c>
      <c r="E83" s="292">
        <f t="shared" si="397"/>
        <v>1.3438242464056475E-2</v>
      </c>
      <c r="F83" s="171">
        <f t="shared" si="398"/>
        <v>1.4559614907972066E-2</v>
      </c>
      <c r="G83" s="171">
        <f t="shared" si="399"/>
        <v>1.5835917950642913E-2</v>
      </c>
      <c r="H83" s="171">
        <f t="shared" si="400"/>
        <v>1.4379806204678646E-2</v>
      </c>
      <c r="I83" s="171">
        <f t="shared" si="401"/>
        <v>1.4212811760078379E-2</v>
      </c>
      <c r="J83" s="170">
        <f t="shared" si="402"/>
        <v>1.3552764374378513E-2</v>
      </c>
      <c r="K83" s="170">
        <f t="shared" si="403"/>
        <v>1.3250961153739834E-2</v>
      </c>
      <c r="L83" s="170">
        <f t="shared" si="404"/>
        <v>1.2263608076921086E-2</v>
      </c>
      <c r="M83" s="170" cm="1">
        <f t="array" ref="M83:S83">TREND(E83:L83,$E$66:$L$66,$M$66:$S$66)</f>
        <v>1.2769814183638761E-2</v>
      </c>
      <c r="N83" s="172">
        <v>1.2510502699656589E-2</v>
      </c>
      <c r="O83" s="172">
        <v>1.2251191215674417E-2</v>
      </c>
      <c r="P83" s="172">
        <v>1.1991879731692245E-2</v>
      </c>
      <c r="Q83" s="172">
        <v>1.1732568247710073E-2</v>
      </c>
      <c r="R83" s="172">
        <v>1.1473256763727901E-2</v>
      </c>
      <c r="S83" s="172">
        <v>1.121394527974573E-2</v>
      </c>
      <c r="AA83" s="59"/>
      <c r="AW83" s="59"/>
      <c r="AX83" s="59"/>
    </row>
    <row r="84" spans="2:50" x14ac:dyDescent="0.35">
      <c r="B84" t="str">
        <f t="shared" si="395"/>
        <v>I6 Gimnázium</v>
      </c>
      <c r="C84" t="s">
        <v>109</v>
      </c>
      <c r="D84" s="164">
        <f t="shared" si="396"/>
        <v>0</v>
      </c>
      <c r="E84" s="292">
        <f t="shared" si="397"/>
        <v>5.5582399687019455E-3</v>
      </c>
      <c r="F84" s="171">
        <f t="shared" si="398"/>
        <v>6.2852324982116056E-3</v>
      </c>
      <c r="G84" s="171">
        <f t="shared" si="399"/>
        <v>7.1552326051386337E-3</v>
      </c>
      <c r="H84" s="171">
        <f t="shared" si="400"/>
        <v>6.6777150285430627E-3</v>
      </c>
      <c r="I84" s="171">
        <f t="shared" si="401"/>
        <v>7.0828569454015567E-3</v>
      </c>
      <c r="J84" s="170">
        <f t="shared" si="402"/>
        <v>8.0877392810784106E-3</v>
      </c>
      <c r="K84" s="170">
        <f t="shared" si="403"/>
        <v>8.0216916772764893E-3</v>
      </c>
      <c r="L84" s="170">
        <f t="shared" si="404"/>
        <v>7.6899720020188597E-3</v>
      </c>
      <c r="M84" s="170" cm="1">
        <f t="array" ref="M84:S84">TREND(E84:L84,$E$66:$L$66,$M$66:$S$66)</f>
        <v>8.5059286832902536E-3</v>
      </c>
      <c r="N84" s="172">
        <v>8.8250606127333597E-3</v>
      </c>
      <c r="O84" s="172">
        <v>9.1441925421764658E-3</v>
      </c>
      <c r="P84" s="172">
        <v>9.4633244716195719E-3</v>
      </c>
      <c r="Q84" s="172">
        <v>9.782456401062678E-3</v>
      </c>
      <c r="R84" s="172">
        <v>1.0101588330505784E-2</v>
      </c>
      <c r="S84" s="172">
        <v>1.042072025994889E-2</v>
      </c>
      <c r="AA84" s="59"/>
      <c r="AW84" s="59"/>
      <c r="AX84" s="59"/>
    </row>
    <row r="85" spans="2:50" x14ac:dyDescent="0.35">
      <c r="B85" t="str">
        <f t="shared" si="395"/>
        <v>I7 Technikum</v>
      </c>
      <c r="C85" t="s">
        <v>110</v>
      </c>
      <c r="D85" s="164">
        <f t="shared" si="396"/>
        <v>0</v>
      </c>
      <c r="E85" s="292">
        <f t="shared" si="397"/>
        <v>1.370550878466566E-2</v>
      </c>
      <c r="F85" s="171">
        <f t="shared" si="398"/>
        <v>1.5105489208820478E-2</v>
      </c>
      <c r="G85" s="171">
        <f t="shared" si="399"/>
        <v>1.5870206906301861E-2</v>
      </c>
      <c r="H85" s="171">
        <f t="shared" si="400"/>
        <v>1.4418629033563581E-2</v>
      </c>
      <c r="I85" s="171">
        <f t="shared" si="401"/>
        <v>1.2743465686300651E-2</v>
      </c>
      <c r="J85" s="170">
        <f t="shared" si="402"/>
        <v>1.2393506077261756E-2</v>
      </c>
      <c r="K85" s="170">
        <f t="shared" si="403"/>
        <v>1.2531128755137682E-2</v>
      </c>
      <c r="L85" s="170">
        <f t="shared" si="404"/>
        <v>1.1572466638039252E-2</v>
      </c>
      <c r="M85" s="170" cm="1">
        <f t="array" ref="M85:S85">TREND(E85:L85,$E$66:$L$66,$M$66:$S$66)</f>
        <v>1.1404602111483864E-2</v>
      </c>
      <c r="N85" s="172">
        <v>1.0929502550422132E-2</v>
      </c>
      <c r="O85" s="172">
        <v>1.0454402989360401E-2</v>
      </c>
      <c r="P85" s="172">
        <v>9.9793034282987803E-3</v>
      </c>
      <c r="Q85" s="172">
        <v>9.5042038672370488E-3</v>
      </c>
      <c r="R85" s="172">
        <v>9.0291043061753173E-3</v>
      </c>
      <c r="S85" s="172">
        <v>8.5540047451136969E-3</v>
      </c>
      <c r="AA85" s="59"/>
      <c r="AW85" s="59"/>
      <c r="AX85" s="59"/>
    </row>
    <row r="86" spans="2:50" x14ac:dyDescent="0.35">
      <c r="B86" t="str">
        <f t="shared" si="395"/>
        <v>I8 Főiskola</v>
      </c>
      <c r="C86" t="s">
        <v>111</v>
      </c>
      <c r="D86" s="164">
        <f t="shared" si="396"/>
        <v>0</v>
      </c>
      <c r="E86" s="292">
        <f t="shared" si="397"/>
        <v>9.3835071245745513E-3</v>
      </c>
      <c r="F86" s="171">
        <f t="shared" si="398"/>
        <v>1.0280453348732139E-2</v>
      </c>
      <c r="G86" s="171">
        <f t="shared" si="399"/>
        <v>1.0943654972380413E-2</v>
      </c>
      <c r="H86" s="171">
        <f t="shared" si="400"/>
        <v>1.0620776374878181E-2</v>
      </c>
      <c r="I86" s="171">
        <f t="shared" si="401"/>
        <v>1.0744850591066486E-2</v>
      </c>
      <c r="J86" s="170">
        <f t="shared" si="402"/>
        <v>1.0989845250052361E-2</v>
      </c>
      <c r="K86" s="170">
        <f t="shared" si="403"/>
        <v>1.015628797991327E-2</v>
      </c>
      <c r="L86" s="170">
        <f t="shared" si="404"/>
        <v>8.7593190122170535E-3</v>
      </c>
      <c r="M86" s="170" cm="1">
        <f t="array" ref="M86:S86">TREND(E86:L86,$E$66:$L$66,$M$66:$S$66)</f>
        <v>9.9815779791522091E-3</v>
      </c>
      <c r="N86" s="172">
        <v>9.9252982341356266E-3</v>
      </c>
      <c r="O86" s="172">
        <v>9.8690184891190441E-3</v>
      </c>
      <c r="P86" s="172">
        <v>9.8127387441024616E-3</v>
      </c>
      <c r="Q86" s="172">
        <v>9.756458999085893E-3</v>
      </c>
      <c r="R86" s="172">
        <v>9.7001792540693105E-3</v>
      </c>
      <c r="S86" s="172">
        <v>9.643899509052728E-3</v>
      </c>
      <c r="AA86" s="59"/>
      <c r="AW86" s="59"/>
      <c r="AX86" s="59"/>
    </row>
    <row r="87" spans="2:50" x14ac:dyDescent="0.35">
      <c r="B87" t="str">
        <f t="shared" si="395"/>
        <v>I9 Egyetem</v>
      </c>
      <c r="C87" t="s">
        <v>112</v>
      </c>
      <c r="D87" s="164">
        <f t="shared" si="396"/>
        <v>0</v>
      </c>
      <c r="E87" s="292">
        <f t="shared" si="397"/>
        <v>8.4763518365777463E-3</v>
      </c>
      <c r="F87" s="171">
        <f t="shared" si="398"/>
        <v>8.0890335833659534E-3</v>
      </c>
      <c r="G87" s="171">
        <f t="shared" si="399"/>
        <v>9.1968457194472469E-3</v>
      </c>
      <c r="H87" s="171">
        <f t="shared" si="400"/>
        <v>8.9058815620701309E-3</v>
      </c>
      <c r="I87" s="171">
        <f t="shared" si="401"/>
        <v>9.0018712691799993E-3</v>
      </c>
      <c r="J87" s="170">
        <f t="shared" si="402"/>
        <v>8.2108979634434674E-3</v>
      </c>
      <c r="K87" s="170">
        <f t="shared" si="403"/>
        <v>7.1893137944140564E-3</v>
      </c>
      <c r="L87" s="170">
        <f t="shared" si="404"/>
        <v>8.4307090580877462E-3</v>
      </c>
      <c r="M87" s="170" cm="1">
        <f t="array" ref="M87:S87">TREND(E87:L87,$E$66:$L$66,$M$66:$S$66)</f>
        <v>8.0261871007291652E-3</v>
      </c>
      <c r="N87" s="172">
        <v>7.9347591012637886E-3</v>
      </c>
      <c r="O87" s="172">
        <v>7.843331101798412E-3</v>
      </c>
      <c r="P87" s="172">
        <v>7.7519031023330354E-3</v>
      </c>
      <c r="Q87" s="172">
        <v>7.6604751028676865E-3</v>
      </c>
      <c r="R87" s="172">
        <v>7.5690471034023099E-3</v>
      </c>
      <c r="S87" s="172">
        <v>7.4776191039369333E-3</v>
      </c>
      <c r="AA87" s="59"/>
      <c r="AW87" s="59"/>
      <c r="AX87" s="59"/>
    </row>
    <row r="88" spans="2:50" x14ac:dyDescent="0.35">
      <c r="B88" t="str">
        <f t="shared" si="395"/>
        <v>Összesen</v>
      </c>
      <c r="C88" t="s">
        <v>21</v>
      </c>
      <c r="D88" s="165" t="s">
        <v>953</v>
      </c>
      <c r="E88" s="294">
        <f t="shared" ref="E88:M88" si="405">SUM(E81:E87)</f>
        <v>5.8121860344494063E-2</v>
      </c>
      <c r="F88" s="174">
        <f t="shared" si="405"/>
        <v>6.2532488221002575E-2</v>
      </c>
      <c r="G88" s="174">
        <f t="shared" si="405"/>
        <v>6.6615122222955458E-2</v>
      </c>
      <c r="H88" s="174">
        <f t="shared" si="405"/>
        <v>6.2554979183859646E-2</v>
      </c>
      <c r="I88" s="174">
        <f t="shared" si="405"/>
        <v>6.1331096081340165E-2</v>
      </c>
      <c r="J88" s="174">
        <f t="shared" si="405"/>
        <v>6.1236237630668336E-2</v>
      </c>
      <c r="K88" s="174">
        <f t="shared" si="405"/>
        <v>5.8487201494752658E-2</v>
      </c>
      <c r="L88" s="174">
        <f t="shared" si="405"/>
        <v>5.5317906471334097E-2</v>
      </c>
      <c r="M88" s="174">
        <f t="shared" si="405"/>
        <v>5.7709541047939426E-2</v>
      </c>
      <c r="N88" s="174">
        <f>SUM(N81:N87)</f>
        <v>5.7028414290525686E-2</v>
      </c>
      <c r="O88" s="175">
        <f t="shared" ref="O88:S88" si="406">SUM(O81:O87)</f>
        <v>5.6347287533111953E-2</v>
      </c>
      <c r="P88" s="175">
        <f t="shared" si="406"/>
        <v>5.5666160775698331E-2</v>
      </c>
      <c r="Q88" s="175">
        <f t="shared" si="406"/>
        <v>5.4985034018284612E-2</v>
      </c>
      <c r="R88" s="175">
        <f t="shared" si="406"/>
        <v>5.4303907260870879E-2</v>
      </c>
      <c r="S88" s="176">
        <f t="shared" si="406"/>
        <v>5.3622780503457257E-2</v>
      </c>
      <c r="AA88" s="59"/>
      <c r="AW88" s="59"/>
      <c r="AX88" s="59"/>
    </row>
    <row r="89" spans="2:50" x14ac:dyDescent="0.35">
      <c r="B89" t="s">
        <v>163</v>
      </c>
      <c r="D89" s="166"/>
      <c r="E89" s="54"/>
      <c r="F89" s="54"/>
      <c r="G89" s="54"/>
      <c r="H89" s="54"/>
      <c r="I89" s="54"/>
      <c r="J89" s="54"/>
      <c r="K89" s="54"/>
      <c r="L89" s="54"/>
      <c r="M89" s="69"/>
      <c r="N89" s="65"/>
      <c r="O89" s="66"/>
      <c r="P89" s="66"/>
      <c r="Q89" s="66"/>
      <c r="R89" s="66"/>
      <c r="S89" s="61"/>
    </row>
    <row r="90" spans="2:50" x14ac:dyDescent="0.35">
      <c r="D90" s="166"/>
      <c r="E90" s="54"/>
      <c r="F90" s="54"/>
      <c r="G90" s="54"/>
      <c r="H90" s="54"/>
      <c r="I90" s="54"/>
      <c r="J90" s="54"/>
      <c r="K90" s="54"/>
      <c r="L90" s="54"/>
      <c r="M90" s="69"/>
      <c r="N90" s="65"/>
      <c r="O90" s="66"/>
      <c r="P90" s="66"/>
      <c r="Q90" s="66"/>
      <c r="R90" s="66"/>
      <c r="S90" s="61"/>
    </row>
    <row r="91" spans="2:50" x14ac:dyDescent="0.35">
      <c r="D91" s="162">
        <f>D66</f>
        <v>2010</v>
      </c>
      <c r="E91" s="30">
        <f t="shared" ref="E91:S91" si="407">E66</f>
        <v>2011</v>
      </c>
      <c r="F91" s="30">
        <f t="shared" si="407"/>
        <v>2012</v>
      </c>
      <c r="G91" s="30">
        <f t="shared" si="407"/>
        <v>2013</v>
      </c>
      <c r="H91" s="30">
        <f t="shared" si="407"/>
        <v>2014</v>
      </c>
      <c r="I91" s="30">
        <f t="shared" si="407"/>
        <v>2015</v>
      </c>
      <c r="J91" s="30">
        <f t="shared" si="407"/>
        <v>2016</v>
      </c>
      <c r="K91" s="30">
        <f t="shared" si="407"/>
        <v>2017</v>
      </c>
      <c r="L91" s="30">
        <f t="shared" si="407"/>
        <v>2018</v>
      </c>
      <c r="M91" s="56">
        <f t="shared" si="407"/>
        <v>2019</v>
      </c>
      <c r="N91" s="55">
        <f t="shared" si="407"/>
        <v>2020</v>
      </c>
      <c r="O91" s="30">
        <f t="shared" si="407"/>
        <v>2021</v>
      </c>
      <c r="P91" s="30">
        <f t="shared" si="407"/>
        <v>2022</v>
      </c>
      <c r="Q91" s="30">
        <f t="shared" si="407"/>
        <v>2023</v>
      </c>
      <c r="R91" s="30">
        <f t="shared" si="407"/>
        <v>2024</v>
      </c>
      <c r="S91" s="56">
        <f t="shared" si="407"/>
        <v>2025</v>
      </c>
    </row>
    <row r="92" spans="2:50" x14ac:dyDescent="0.35">
      <c r="D92" s="163" t="str">
        <f t="shared" ref="D92" si="408">E40</f>
        <v>Gyártás</v>
      </c>
      <c r="E92" s="71" t="str">
        <f t="shared" ref="E92" si="409">I40</f>
        <v>Gyártás</v>
      </c>
      <c r="F92" s="71" t="str">
        <f t="shared" ref="F92" si="410">M40</f>
        <v>Gyártás</v>
      </c>
      <c r="G92" s="71" t="str">
        <f t="shared" ref="G92" si="411">Q40</f>
        <v>Gyártás</v>
      </c>
      <c r="H92" s="71" t="str">
        <f t="shared" ref="H92" si="412">U40</f>
        <v>Gyártás</v>
      </c>
      <c r="I92" s="71" t="str">
        <f t="shared" ref="I92" si="413">Y40</f>
        <v>Gyártás</v>
      </c>
      <c r="J92" s="71" t="str">
        <f t="shared" ref="J92" si="414">AC40</f>
        <v>Gyártás</v>
      </c>
      <c r="K92" s="71" t="str">
        <f t="shared" ref="K92" si="415">AG40</f>
        <v>Gyártás</v>
      </c>
      <c r="L92" s="71" t="str">
        <f t="shared" ref="L92" si="416">AK40</f>
        <v>Gyártás</v>
      </c>
      <c r="M92" s="72" t="str">
        <f t="shared" ref="M92" si="417">AO40</f>
        <v>Gyártás</v>
      </c>
      <c r="N92" s="70" t="str">
        <f>M92</f>
        <v>Gyártás</v>
      </c>
      <c r="O92" s="71" t="str">
        <f>N92</f>
        <v>Gyártás</v>
      </c>
      <c r="P92" s="71" t="str">
        <f t="shared" ref="P92:S92" si="418">O92</f>
        <v>Gyártás</v>
      </c>
      <c r="Q92" s="71" t="str">
        <f t="shared" si="418"/>
        <v>Gyártás</v>
      </c>
      <c r="R92" s="71" t="str">
        <f t="shared" si="418"/>
        <v>Gyártás</v>
      </c>
      <c r="S92" s="72" t="str">
        <f t="shared" si="418"/>
        <v>Gyártás</v>
      </c>
      <c r="AS92" s="71"/>
      <c r="AT92" s="71"/>
    </row>
    <row r="93" spans="2:50" ht="14.5" customHeight="1" x14ac:dyDescent="0.35">
      <c r="B93" t="str">
        <f t="shared" ref="B93:C103" si="419">B68</f>
        <v>0 FEGYVERES SZERVEK FOGLALKOZÁSAI</v>
      </c>
      <c r="C93" t="str">
        <f t="shared" si="419"/>
        <v>Fegyveresek</v>
      </c>
      <c r="D93" s="164" t="s">
        <v>1088</v>
      </c>
      <c r="E93" s="292">
        <f>I42</f>
        <v>0</v>
      </c>
      <c r="F93" s="170">
        <f>M42</f>
        <v>1.0088541380416785E-6</v>
      </c>
      <c r="G93" s="170">
        <f>Q42</f>
        <v>0</v>
      </c>
      <c r="H93" s="170">
        <f>U42</f>
        <v>1.7086084706250941E-6</v>
      </c>
      <c r="I93" s="170">
        <f>Y42</f>
        <v>0</v>
      </c>
      <c r="J93" s="170">
        <f>AC42</f>
        <v>6.3064788269714919E-7</v>
      </c>
      <c r="K93" s="170">
        <f>AG42</f>
        <v>0</v>
      </c>
      <c r="L93" s="170">
        <f>AK42</f>
        <v>0</v>
      </c>
      <c r="M93" s="170" cm="1">
        <f t="array" ref="M93:S93">TREND(E93:L93,$E$66:$L$66,$M$66:$S$66)</f>
        <v>1.5810655180930775E-7</v>
      </c>
      <c r="N93" s="160">
        <v>1.0023827189570593E-7</v>
      </c>
      <c r="O93" s="160">
        <v>4.2369991982117651E-8</v>
      </c>
      <c r="P93" s="160">
        <v>-1.5498287931484177E-8</v>
      </c>
      <c r="Q93" s="160">
        <v>-7.3366567845072452E-8</v>
      </c>
      <c r="R93" s="160">
        <v>-1.3123484775867428E-7</v>
      </c>
      <c r="S93" s="160">
        <v>-1.8910312767226255E-7</v>
      </c>
      <c r="AS93" s="66"/>
      <c r="AT93" s="66"/>
    </row>
    <row r="94" spans="2:50" x14ac:dyDescent="0.35">
      <c r="B94" t="str">
        <f t="shared" si="419"/>
        <v>1 GAZDASÁGI, IGAZGATÁSI, ÉRDEK-KÉPVISELETI VEZETŐK, TÖRVÉNYHOZÓK</v>
      </c>
      <c r="C94" t="str">
        <f t="shared" si="419"/>
        <v>Vezetők</v>
      </c>
      <c r="D94" s="164">
        <f>E42</f>
        <v>0</v>
      </c>
      <c r="E94" s="292">
        <f t="shared" ref="E94:E102" si="420">I43</f>
        <v>2.0354569879038613E-3</v>
      </c>
      <c r="F94" s="170">
        <f t="shared" ref="F94:F102" si="421">M43</f>
        <v>1.771812090104008E-3</v>
      </c>
      <c r="G94" s="170">
        <f t="shared" ref="G94:G102" si="422">Q43</f>
        <v>1.7106676271554221E-3</v>
      </c>
      <c r="H94" s="170">
        <f t="shared" ref="H94:H102" si="423">U43</f>
        <v>1.7693665878405224E-3</v>
      </c>
      <c r="I94" s="170">
        <f t="shared" ref="I94:I102" si="424">Y43</f>
        <v>1.6465621980259577E-3</v>
      </c>
      <c r="J94" s="170">
        <f t="shared" ref="J94:J102" si="425">AC43</f>
        <v>1.6614628685617298E-3</v>
      </c>
      <c r="K94" s="170">
        <f t="shared" ref="K94:K102" si="426">AG43</f>
        <v>1.5487180480202854E-3</v>
      </c>
      <c r="L94" s="170">
        <f t="shared" ref="L94:L102" si="427">AK43</f>
        <v>1.5058286191856273E-3</v>
      </c>
      <c r="M94" s="170" cm="1">
        <f t="array" ref="M94:S94">TREND(E94:L94,$E$66:$L$66,$M$66:$S$66)</f>
        <v>1.4333796931509935E-3</v>
      </c>
      <c r="N94" s="160">
        <v>1.3727453186623967E-3</v>
      </c>
      <c r="O94" s="160">
        <v>1.3121109441738138E-3</v>
      </c>
      <c r="P94" s="160">
        <v>1.251476569685217E-3</v>
      </c>
      <c r="Q94" s="160">
        <v>1.1908421951966203E-3</v>
      </c>
      <c r="R94" s="160">
        <v>1.1302078207080235E-3</v>
      </c>
      <c r="S94" s="160">
        <v>1.0695734462194267E-3</v>
      </c>
      <c r="AS94" s="66"/>
      <c r="AT94" s="66"/>
    </row>
    <row r="95" spans="2:50" x14ac:dyDescent="0.35">
      <c r="B95" t="str">
        <f t="shared" si="419"/>
        <v>2 FELSŐFOKÚ KÉPZETTSÉG ÖNÁLLÓ ALKALMAZÁSÁT IGÉNYLŐ FOGLALKOZÁSOK</v>
      </c>
      <c r="C95" t="str">
        <f t="shared" si="419"/>
        <v>Felsőfokúak</v>
      </c>
      <c r="D95" s="164">
        <f t="shared" ref="D95:D102" si="428">E43</f>
        <v>0</v>
      </c>
      <c r="E95" s="292">
        <f t="shared" si="420"/>
        <v>3.0839318928963769E-3</v>
      </c>
      <c r="F95" s="170">
        <f t="shared" si="421"/>
        <v>3.7779185435998859E-3</v>
      </c>
      <c r="G95" s="170">
        <f t="shared" si="422"/>
        <v>3.9374226931880524E-3</v>
      </c>
      <c r="H95" s="170">
        <f t="shared" si="423"/>
        <v>3.8264172792417603E-3</v>
      </c>
      <c r="I95" s="170">
        <f t="shared" si="424"/>
        <v>3.7109868663234859E-3</v>
      </c>
      <c r="J95" s="170">
        <f t="shared" si="425"/>
        <v>3.7209906806818993E-3</v>
      </c>
      <c r="K95" s="170">
        <f t="shared" si="426"/>
        <v>3.6370071821190896E-3</v>
      </c>
      <c r="L95" s="170">
        <f t="shared" si="427"/>
        <v>3.3817616613422302E-3</v>
      </c>
      <c r="M95" s="170" cm="1">
        <f t="array" ref="M95:S95">TREND(E95:L95,$E$66:$L$66,$M$66:$S$66)</f>
        <v>3.6675291599926833E-3</v>
      </c>
      <c r="N95" s="160">
        <v>3.674856840007925E-3</v>
      </c>
      <c r="O95" s="160">
        <v>3.6821845200231667E-3</v>
      </c>
      <c r="P95" s="160">
        <v>3.6895122000384067E-3</v>
      </c>
      <c r="Q95" s="160">
        <v>3.6968398800536484E-3</v>
      </c>
      <c r="R95" s="160">
        <v>3.7041675600688901E-3</v>
      </c>
      <c r="S95" s="160">
        <v>3.7114952400841301E-3</v>
      </c>
      <c r="AS95" s="66"/>
      <c r="AT95" s="66"/>
    </row>
    <row r="96" spans="2:50" x14ac:dyDescent="0.35">
      <c r="B96" t="str">
        <f t="shared" si="419"/>
        <v>3 EGYÉB FELSŐFOKÚ VAGY KÖZÉPFOKÚ KÉPZETTSÉGET IGÉNYLŐ FOGLALKOZÁSOK</v>
      </c>
      <c r="C96" t="str">
        <f t="shared" si="419"/>
        <v>Egyéb felső</v>
      </c>
      <c r="D96" s="164">
        <f t="shared" si="428"/>
        <v>0</v>
      </c>
      <c r="E96" s="292">
        <f t="shared" si="420"/>
        <v>4.6099439595219038E-3</v>
      </c>
      <c r="F96" s="170">
        <f t="shared" si="421"/>
        <v>4.7522554579185671E-3</v>
      </c>
      <c r="G96" s="170">
        <f t="shared" si="422"/>
        <v>5.3513129220172295E-3</v>
      </c>
      <c r="H96" s="170">
        <f t="shared" si="423"/>
        <v>4.9686562140240486E-3</v>
      </c>
      <c r="I96" s="170">
        <f t="shared" si="424"/>
        <v>4.7472823359743354E-3</v>
      </c>
      <c r="J96" s="170">
        <f t="shared" si="425"/>
        <v>4.9355974811605193E-3</v>
      </c>
      <c r="K96" s="170">
        <f t="shared" si="426"/>
        <v>4.9727984583987873E-3</v>
      </c>
      <c r="L96" s="170">
        <f t="shared" si="427"/>
        <v>4.593848098334772E-3</v>
      </c>
      <c r="M96" s="170" cm="1">
        <f t="array" ref="M96:S96">TREND(E96:L96,$E$66:$L$66,$M$66:$S$66)</f>
        <v>4.840829210926165E-3</v>
      </c>
      <c r="N96" s="160">
        <v>4.8351330653722529E-3</v>
      </c>
      <c r="O96" s="160">
        <v>4.829436919818339E-3</v>
      </c>
      <c r="P96" s="160">
        <v>4.8237407742644269E-3</v>
      </c>
      <c r="Q96" s="160">
        <v>4.8180446287105147E-3</v>
      </c>
      <c r="R96" s="160">
        <v>4.8123484831566008E-3</v>
      </c>
      <c r="S96" s="160">
        <v>4.8066523376026887E-3</v>
      </c>
      <c r="AS96" s="66"/>
      <c r="AT96" s="66"/>
    </row>
    <row r="97" spans="2:46" x14ac:dyDescent="0.35">
      <c r="B97" t="str">
        <f t="shared" si="419"/>
        <v>4 IRODAI ÉS ÜGYVITELI (ÜGYFÉLKAPCSOLATI) FOGLALKOZÁSOK</v>
      </c>
      <c r="C97" t="str">
        <f t="shared" si="419"/>
        <v>Iroda-ügyvitel</v>
      </c>
      <c r="D97" s="164">
        <f t="shared" si="428"/>
        <v>0</v>
      </c>
      <c r="E97" s="292">
        <f t="shared" si="420"/>
        <v>2.0508712512031092E-3</v>
      </c>
      <c r="F97" s="170">
        <f t="shared" si="421"/>
        <v>1.9920545565731544E-3</v>
      </c>
      <c r="G97" s="170">
        <f t="shared" si="422"/>
        <v>2.1075953778951586E-3</v>
      </c>
      <c r="H97" s="170">
        <f t="shared" si="423"/>
        <v>2.2408513999479483E-3</v>
      </c>
      <c r="I97" s="170">
        <f t="shared" si="424"/>
        <v>2.1799406763909055E-3</v>
      </c>
      <c r="J97" s="170">
        <f t="shared" si="425"/>
        <v>2.1696809756312722E-3</v>
      </c>
      <c r="K97" s="170">
        <f t="shared" si="426"/>
        <v>1.9277896828127448E-3</v>
      </c>
      <c r="L97" s="170">
        <f t="shared" si="427"/>
        <v>1.9107574789172636E-3</v>
      </c>
      <c r="M97" s="170" cm="1">
        <f t="array" ref="M97:S97">TREND(E97:L97,$E$66:$L$66,$M$66:$S$66)</f>
        <v>2.0094011728597518E-3</v>
      </c>
      <c r="N97" s="160">
        <v>1.9953919501793718E-3</v>
      </c>
      <c r="O97" s="160">
        <v>1.9813827274989954E-3</v>
      </c>
      <c r="P97" s="160">
        <v>1.9673735048186189E-3</v>
      </c>
      <c r="Q97" s="160">
        <v>1.9533642821382424E-3</v>
      </c>
      <c r="R97" s="160">
        <v>1.939355059457866E-3</v>
      </c>
      <c r="S97" s="160">
        <v>1.9253458367774895E-3</v>
      </c>
      <c r="AS97" s="66"/>
      <c r="AT97" s="66"/>
    </row>
    <row r="98" spans="2:46" x14ac:dyDescent="0.35">
      <c r="B98" t="str">
        <f t="shared" si="419"/>
        <v>5 KERESKEDELMI ÉS SZOLGÁLTATÁSI FOGLALKOZÁSOK</v>
      </c>
      <c r="C98" t="str">
        <f t="shared" si="419"/>
        <v>Ker-szolg</v>
      </c>
      <c r="D98" s="164">
        <f t="shared" si="428"/>
        <v>0</v>
      </c>
      <c r="E98" s="292">
        <f t="shared" si="420"/>
        <v>1.5307043842204273E-3</v>
      </c>
      <c r="F98" s="170">
        <f t="shared" si="421"/>
        <v>1.6009314153890436E-3</v>
      </c>
      <c r="G98" s="170">
        <f t="shared" si="422"/>
        <v>1.5762215730661133E-3</v>
      </c>
      <c r="H98" s="170">
        <f t="shared" si="423"/>
        <v>1.6573046536137912E-3</v>
      </c>
      <c r="I98" s="170">
        <f t="shared" si="424"/>
        <v>1.3502864293720269E-3</v>
      </c>
      <c r="J98" s="170">
        <f t="shared" si="425"/>
        <v>1.5313812319573976E-3</v>
      </c>
      <c r="K98" s="170">
        <f t="shared" si="426"/>
        <v>1.4468440266099604E-3</v>
      </c>
      <c r="L98" s="170">
        <f t="shared" si="427"/>
        <v>1.3860421736737838E-3</v>
      </c>
      <c r="M98" s="170" cm="1">
        <f t="array" ref="M98:S98">TREND(E98:L98,$E$66:$L$66,$M$66:$S$66)</f>
        <v>1.3907888610615732E-3</v>
      </c>
      <c r="N98" s="160">
        <v>1.3643053888557424E-3</v>
      </c>
      <c r="O98" s="160">
        <v>1.3378219166499117E-3</v>
      </c>
      <c r="P98" s="160">
        <v>1.3113384444440809E-3</v>
      </c>
      <c r="Q98" s="160">
        <v>1.2848549722382502E-3</v>
      </c>
      <c r="R98" s="160">
        <v>1.2583715000324194E-3</v>
      </c>
      <c r="S98" s="160">
        <v>1.2318880278265887E-3</v>
      </c>
      <c r="AS98" s="66"/>
      <c r="AT98" s="66"/>
    </row>
    <row r="99" spans="2:46" x14ac:dyDescent="0.35">
      <c r="B99" t="str">
        <f t="shared" si="419"/>
        <v>6 MEZŐGAZDASÁGI ÉS ERDŐGAZDÁLKODÁSI FOGLALKOZÁSOK</v>
      </c>
      <c r="C99" t="str">
        <f t="shared" si="419"/>
        <v>Mező-erdő</v>
      </c>
      <c r="D99" s="164">
        <f t="shared" si="428"/>
        <v>0</v>
      </c>
      <c r="E99" s="292">
        <f t="shared" si="420"/>
        <v>2.8027212994339971E-4</v>
      </c>
      <c r="F99" s="170">
        <f t="shared" si="421"/>
        <v>2.7279896299379391E-4</v>
      </c>
      <c r="G99" s="170">
        <f t="shared" si="422"/>
        <v>3.0106744296434079E-4</v>
      </c>
      <c r="H99" s="170">
        <f t="shared" si="423"/>
        <v>2.7588331439026517E-4</v>
      </c>
      <c r="I99" s="170">
        <f t="shared" si="424"/>
        <v>2.236866930613095E-4</v>
      </c>
      <c r="J99" s="170">
        <f t="shared" si="425"/>
        <v>2.1959159275514737E-4</v>
      </c>
      <c r="K99" s="170">
        <f t="shared" si="426"/>
        <v>1.928520033285944E-4</v>
      </c>
      <c r="L99" s="170">
        <f t="shared" si="427"/>
        <v>2.8652947357032401E-4</v>
      </c>
      <c r="M99" s="170" cm="1">
        <f t="array" ref="M99:S99">TREND(E99:L99,$E$66:$L$66,$M$66:$S$66)</f>
        <v>2.2162676064942793E-4</v>
      </c>
      <c r="N99" s="160">
        <v>2.1385821821021458E-4</v>
      </c>
      <c r="O99" s="160">
        <v>2.0608967577099777E-4</v>
      </c>
      <c r="P99" s="160">
        <v>1.9832113333178442E-4</v>
      </c>
      <c r="Q99" s="160">
        <v>1.905525908925676E-4</v>
      </c>
      <c r="R99" s="160">
        <v>1.8278404845335425E-4</v>
      </c>
      <c r="S99" s="160">
        <v>1.7501550601413743E-4</v>
      </c>
      <c r="AS99" s="66"/>
      <c r="AT99" s="66"/>
    </row>
    <row r="100" spans="2:46" x14ac:dyDescent="0.35">
      <c r="B100" t="str">
        <f t="shared" si="419"/>
        <v>7 IPARI ÉS ÉPÍTŐIPARI FOGLALKOZÁSOK</v>
      </c>
      <c r="C100" t="str">
        <f t="shared" si="419"/>
        <v>ipar-épip.</v>
      </c>
      <c r="D100" s="164">
        <f t="shared" si="428"/>
        <v>0</v>
      </c>
      <c r="E100" s="292">
        <f t="shared" si="420"/>
        <v>1.063574783012905E-2</v>
      </c>
      <c r="F100" s="170">
        <f t="shared" si="421"/>
        <v>1.0146094106958402E-2</v>
      </c>
      <c r="G100" s="170">
        <f t="shared" si="422"/>
        <v>1.0283779416954103E-2</v>
      </c>
      <c r="H100" s="170">
        <f t="shared" si="423"/>
        <v>1.0055411445537704E-2</v>
      </c>
      <c r="I100" s="170">
        <f t="shared" si="424"/>
        <v>9.7835815330433399E-3</v>
      </c>
      <c r="J100" s="170">
        <f t="shared" si="425"/>
        <v>9.4708386647887992E-3</v>
      </c>
      <c r="K100" s="170">
        <f t="shared" si="426"/>
        <v>9.4397206484961183E-3</v>
      </c>
      <c r="L100" s="170">
        <f t="shared" si="427"/>
        <v>9.1312891164146252E-3</v>
      </c>
      <c r="M100" s="170" cm="1">
        <f t="array" ref="M100:S100">TREND(E100:L100,$E$66:$L$66,$M$66:$S$66)</f>
        <v>8.9697151422204469E-3</v>
      </c>
      <c r="N100" s="160">
        <v>8.7700278748716332E-3</v>
      </c>
      <c r="O100" s="160">
        <v>8.5703406075227639E-3</v>
      </c>
      <c r="P100" s="160">
        <v>8.3706533401739502E-3</v>
      </c>
      <c r="Q100" s="160">
        <v>8.170966072825081E-3</v>
      </c>
      <c r="R100" s="160">
        <v>7.9712788054762673E-3</v>
      </c>
      <c r="S100" s="160">
        <v>7.7715915381273981E-3</v>
      </c>
      <c r="AS100" s="66"/>
      <c r="AT100" s="66"/>
    </row>
    <row r="101" spans="2:46" x14ac:dyDescent="0.35">
      <c r="B101" t="str">
        <f t="shared" si="419"/>
        <v>8 GÉPKEZELŐK, ÖSSZESZERELŐK, JÁRMŰVEZETŐK</v>
      </c>
      <c r="C101" t="str">
        <f t="shared" si="419"/>
        <v>Összeszerelők</v>
      </c>
      <c r="D101" s="164">
        <f t="shared" si="428"/>
        <v>0</v>
      </c>
      <c r="E101" s="292">
        <f t="shared" si="420"/>
        <v>9.8851881692367579E-3</v>
      </c>
      <c r="F101" s="170">
        <f t="shared" si="421"/>
        <v>1.0016576451903146E-2</v>
      </c>
      <c r="G101" s="170">
        <f t="shared" si="422"/>
        <v>1.034743973451482E-2</v>
      </c>
      <c r="H101" s="170">
        <f t="shared" si="423"/>
        <v>1.0083159247100654E-2</v>
      </c>
      <c r="I101" s="170">
        <f t="shared" si="424"/>
        <v>9.5703727273815601E-3</v>
      </c>
      <c r="J101" s="170">
        <f t="shared" si="425"/>
        <v>1.0358938034799012E-2</v>
      </c>
      <c r="K101" s="170">
        <f t="shared" si="426"/>
        <v>1.0245336698838998E-2</v>
      </c>
      <c r="L101" s="170">
        <f t="shared" si="427"/>
        <v>1.0061802505249406E-2</v>
      </c>
      <c r="M101" s="170" cm="1">
        <f t="array" ref="M101:S101">TREND(E101:L101,$E$66:$L$66,$M$66:$S$66)</f>
        <v>1.0172984372979893E-2</v>
      </c>
      <c r="N101" s="160">
        <v>1.019562496783586E-2</v>
      </c>
      <c r="O101" s="160">
        <v>1.0218265562691828E-2</v>
      </c>
      <c r="P101" s="160">
        <v>1.0240906157547795E-2</v>
      </c>
      <c r="Q101" s="160">
        <v>1.0263546752403763E-2</v>
      </c>
      <c r="R101" s="160">
        <v>1.028618734725973E-2</v>
      </c>
      <c r="S101" s="160">
        <v>1.0308827942115698E-2</v>
      </c>
      <c r="AS101" s="66"/>
      <c r="AT101" s="66"/>
    </row>
    <row r="102" spans="2:46" x14ac:dyDescent="0.35">
      <c r="B102" t="str">
        <f t="shared" si="419"/>
        <v>9 SZAKKÉPZETTSÉGET NEM IGÉNYLŐ (EGYSZERŰ) FOGLALKOZÁSOK</v>
      </c>
      <c r="C102" t="str">
        <f t="shared" si="419"/>
        <v>szakképzetlen</v>
      </c>
      <c r="D102" s="164">
        <f t="shared" si="428"/>
        <v>0</v>
      </c>
      <c r="E102" s="292">
        <f t="shared" si="420"/>
        <v>2.8095486215345771E-3</v>
      </c>
      <c r="F102" s="170">
        <f t="shared" si="421"/>
        <v>2.6049814861067145E-3</v>
      </c>
      <c r="G102" s="170">
        <f t="shared" si="422"/>
        <v>2.5408159200560327E-3</v>
      </c>
      <c r="H102" s="170">
        <f t="shared" si="423"/>
        <v>2.4467501113814094E-3</v>
      </c>
      <c r="I102" s="170">
        <f t="shared" si="424"/>
        <v>2.3407384411634883E-3</v>
      </c>
      <c r="J102" s="170">
        <f t="shared" si="425"/>
        <v>2.2847742142235021E-3</v>
      </c>
      <c r="K102" s="170">
        <f t="shared" si="426"/>
        <v>2.4044519321862246E-3</v>
      </c>
      <c r="L102" s="170">
        <f t="shared" si="427"/>
        <v>2.4150182822715821E-3</v>
      </c>
      <c r="M102" s="170" cm="1">
        <f t="array" ref="M102:S102">TREND(E102:L102,$E$66:$L$66,$M$66:$S$66)</f>
        <v>2.2323939690355038E-3</v>
      </c>
      <c r="N102" s="160">
        <v>2.1771737674621816E-3</v>
      </c>
      <c r="O102" s="160">
        <v>2.1219535658888594E-3</v>
      </c>
      <c r="P102" s="160">
        <v>2.0667333643155372E-3</v>
      </c>
      <c r="Q102" s="160">
        <v>2.011513162742215E-3</v>
      </c>
      <c r="R102" s="160">
        <v>1.9562929611688928E-3</v>
      </c>
      <c r="S102" s="160">
        <v>1.9010727595955706E-3</v>
      </c>
      <c r="AS102" s="66"/>
      <c r="AT102" s="66"/>
    </row>
    <row r="103" spans="2:46" x14ac:dyDescent="0.35">
      <c r="B103" t="str">
        <f t="shared" si="419"/>
        <v>Összesen</v>
      </c>
      <c r="C103" t="str">
        <f t="shared" si="419"/>
        <v>összesen</v>
      </c>
      <c r="D103" s="165" t="s">
        <v>1098</v>
      </c>
      <c r="E103" s="294">
        <f t="shared" ref="E103" si="429">SUM(E96:E102)</f>
        <v>3.1802276345789221E-2</v>
      </c>
      <c r="F103" s="174">
        <f t="shared" ref="F103" si="430">SUM(F96:F102)</f>
        <v>3.1385692437842824E-2</v>
      </c>
      <c r="G103" s="174">
        <f t="shared" ref="G103" si="431">SUM(G96:G102)</f>
        <v>3.2508232387467799E-2</v>
      </c>
      <c r="H103" s="174">
        <f t="shared" ref="H103" si="432">SUM(H96:H102)</f>
        <v>3.1728016385995823E-2</v>
      </c>
      <c r="I103" s="174">
        <f t="shared" ref="I103" si="433">SUM(I96:I102)</f>
        <v>3.0195888836386964E-2</v>
      </c>
      <c r="J103" s="174">
        <f t="shared" ref="J103" si="434">SUM(J96:J102)</f>
        <v>3.0970802195315651E-2</v>
      </c>
      <c r="K103" s="174">
        <f t="shared" ref="K103" si="435">SUM(K96:K102)</f>
        <v>3.062979345067143E-2</v>
      </c>
      <c r="L103" s="174">
        <f t="shared" ref="L103" si="436">SUM(L96:L102)</f>
        <v>2.9785287128431755E-2</v>
      </c>
      <c r="M103" s="174">
        <f t="shared" ref="M103" si="437">SUM(M96:M102)</f>
        <v>2.9837739489732763E-2</v>
      </c>
      <c r="N103" s="174">
        <f>SUM(N96:N102)</f>
        <v>2.9551515232787255E-2</v>
      </c>
      <c r="O103" s="175">
        <f t="shared" ref="O103:S103" si="438">SUM(O96:O102)</f>
        <v>2.9265290975841695E-2</v>
      </c>
      <c r="P103" s="175">
        <f t="shared" si="438"/>
        <v>2.8979066718896194E-2</v>
      </c>
      <c r="Q103" s="175">
        <f t="shared" si="438"/>
        <v>2.8692842461950634E-2</v>
      </c>
      <c r="R103" s="175">
        <f t="shared" si="438"/>
        <v>2.8406618205005132E-2</v>
      </c>
      <c r="S103" s="176">
        <f t="shared" si="438"/>
        <v>2.8120393948059569E-2</v>
      </c>
      <c r="AS103" s="66"/>
      <c r="AT103" s="66"/>
    </row>
    <row r="104" spans="2:46" x14ac:dyDescent="0.35">
      <c r="B104" t="s">
        <v>163</v>
      </c>
      <c r="D104" s="166"/>
      <c r="E104" s="174"/>
      <c r="F104" s="174"/>
      <c r="G104" s="174"/>
      <c r="H104" s="174"/>
      <c r="I104" s="174"/>
      <c r="J104" s="174"/>
      <c r="K104" s="174"/>
      <c r="L104" s="174"/>
      <c r="M104" s="174"/>
      <c r="N104" s="174"/>
      <c r="O104" s="175"/>
      <c r="P104" s="175"/>
      <c r="Q104" s="175"/>
      <c r="R104" s="175"/>
      <c r="S104" s="176"/>
      <c r="AS104" s="66"/>
      <c r="AT104" s="66"/>
    </row>
    <row r="105" spans="2:46" x14ac:dyDescent="0.35">
      <c r="D105" s="166"/>
      <c r="E105" s="174"/>
      <c r="F105" s="174"/>
      <c r="G105" s="174"/>
      <c r="H105" s="174"/>
      <c r="I105" s="174"/>
      <c r="J105" s="174"/>
      <c r="K105" s="174"/>
      <c r="L105" s="174"/>
      <c r="M105" s="174"/>
      <c r="N105" s="174"/>
      <c r="O105" s="175"/>
      <c r="P105" s="175"/>
      <c r="Q105" s="175"/>
      <c r="R105" s="175"/>
      <c r="S105" s="176"/>
      <c r="AS105" s="66"/>
      <c r="AT105" s="66"/>
    </row>
    <row r="106" spans="2:46" ht="14.5" customHeight="1" x14ac:dyDescent="0.35">
      <c r="B106" t="str">
        <f t="shared" ref="B106:C113" si="439">B81</f>
        <v>I1 Általános Iskola 0-7 osztály</v>
      </c>
      <c r="C106" t="str">
        <f t="shared" si="439"/>
        <v>0-7 osztály</v>
      </c>
      <c r="D106" s="164">
        <f>E54</f>
        <v>0</v>
      </c>
      <c r="E106" s="292">
        <f>I54</f>
        <v>8.8285955548050664E-5</v>
      </c>
      <c r="F106" s="170">
        <f>M54</f>
        <v>6.6248088398070229E-5</v>
      </c>
      <c r="G106" s="170">
        <f>Q54</f>
        <v>6.9799519370407738E-5</v>
      </c>
      <c r="H106" s="170">
        <f>U54</f>
        <v>7.2763939402353996E-5</v>
      </c>
      <c r="I106" s="170">
        <f>Y54</f>
        <v>6.7058479356992923E-5</v>
      </c>
      <c r="J106" s="170">
        <f>AC54</f>
        <v>6.0268915989757561E-5</v>
      </c>
      <c r="K106" s="170">
        <f>AG54</f>
        <v>5.8822821895518048E-5</v>
      </c>
      <c r="L106" s="170">
        <f>AK54</f>
        <v>6.5987036835920494E-5</v>
      </c>
      <c r="M106" s="170" cm="1">
        <f t="array" ref="M106:S106">TREND(E106:L106,$E$66:$L$66,$M$66:$S$66)</f>
        <v>5.6465985652224236E-5</v>
      </c>
      <c r="N106" s="160">
        <v>5.3757461441688442E-5</v>
      </c>
      <c r="O106" s="160">
        <v>5.1048937231152648E-5</v>
      </c>
      <c r="P106" s="160">
        <v>4.8340413020617722E-5</v>
      </c>
      <c r="Q106" s="160">
        <v>4.5631888810081928E-5</v>
      </c>
      <c r="R106" s="160">
        <v>4.2923364599546134E-5</v>
      </c>
      <c r="S106" s="160">
        <v>4.0214840389011207E-5</v>
      </c>
      <c r="AS106" s="66"/>
      <c r="AT106" s="66"/>
    </row>
    <row r="107" spans="2:46" x14ac:dyDescent="0.35">
      <c r="B107" t="str">
        <f t="shared" si="439"/>
        <v>I2 Általános Iskola 8 osztály</v>
      </c>
      <c r="C107" t="str">
        <f t="shared" si="439"/>
        <v>8 osztály</v>
      </c>
      <c r="D107" s="164">
        <f t="shared" ref="D107:D111" si="440">E55</f>
        <v>0</v>
      </c>
      <c r="E107" s="292">
        <f t="shared" ref="E107:E111" si="441">I55</f>
        <v>4.6591429095044342E-3</v>
      </c>
      <c r="F107" s="170">
        <f t="shared" ref="F107:F111" si="442">M55</f>
        <v>4.335190353184813E-3</v>
      </c>
      <c r="G107" s="170">
        <f t="shared" ref="G107:G111" si="443">Q55</f>
        <v>4.3019038994235653E-3</v>
      </c>
      <c r="H107" s="170">
        <f t="shared" ref="H107:H111" si="444">U55</f>
        <v>4.3356509478268638E-3</v>
      </c>
      <c r="I107" s="170">
        <f t="shared" ref="I107:I111" si="445">Y55</f>
        <v>4.1701991850129965E-3</v>
      </c>
      <c r="J107" s="170">
        <f t="shared" ref="J107:J111" si="446">AC55</f>
        <v>4.1489062906880057E-3</v>
      </c>
      <c r="K107" s="170">
        <f t="shared" ref="K107:K111" si="447">AG55</f>
        <v>4.158595855195321E-3</v>
      </c>
      <c r="L107" s="170">
        <f t="shared" ref="L107:L111" si="448">AK55</f>
        <v>4.2131835301750884E-3</v>
      </c>
      <c r="M107" s="170" cm="1">
        <f t="array" ref="M107:S107">TREND(E107:L107,$E$66:$L$66,$M$66:$S$66)</f>
        <v>4.0423573677545871E-3</v>
      </c>
      <c r="N107" s="160">
        <v>3.9872486447275202E-3</v>
      </c>
      <c r="O107" s="160">
        <v>3.9321399217004532E-3</v>
      </c>
      <c r="P107" s="160">
        <v>3.8770311986734002E-3</v>
      </c>
      <c r="Q107" s="160">
        <v>3.8219224756463333E-3</v>
      </c>
      <c r="R107" s="160">
        <v>3.7668137526192663E-3</v>
      </c>
      <c r="S107" s="160">
        <v>3.7117050295921994E-3</v>
      </c>
      <c r="AS107" s="66"/>
      <c r="AT107" s="66"/>
    </row>
    <row r="108" spans="2:46" x14ac:dyDescent="0.35">
      <c r="B108" t="str">
        <f t="shared" si="439"/>
        <v>I3-I5 Szakiskola, Szakmunkásképző iskola, Szakközépiskola</v>
      </c>
      <c r="C108" t="str">
        <f t="shared" si="439"/>
        <v>szakiskola</v>
      </c>
      <c r="D108" s="164">
        <f t="shared" si="440"/>
        <v>0</v>
      </c>
      <c r="E108" s="292">
        <f t="shared" si="441"/>
        <v>1.4281725524542592E-2</v>
      </c>
      <c r="F108" s="170">
        <f t="shared" si="442"/>
        <v>1.397923540444776E-2</v>
      </c>
      <c r="G108" s="170">
        <f t="shared" si="443"/>
        <v>1.4402690722676796E-2</v>
      </c>
      <c r="H108" s="170">
        <f t="shared" si="444"/>
        <v>1.3783617909887934E-2</v>
      </c>
      <c r="I108" s="170">
        <f t="shared" si="445"/>
        <v>1.2614577085047112E-2</v>
      </c>
      <c r="J108" s="170">
        <f t="shared" si="446"/>
        <v>1.2901352930700391E-2</v>
      </c>
      <c r="K108" s="170">
        <f t="shared" si="447"/>
        <v>1.3053554007492611E-2</v>
      </c>
      <c r="L108" s="170">
        <f t="shared" si="448"/>
        <v>1.2712676359485253E-2</v>
      </c>
      <c r="M108" s="170" cm="1">
        <f t="array" ref="M108:S108">TREND(E108:L108,$E$66:$L$66,$M$66:$S$66)</f>
        <v>1.2325921314055743E-2</v>
      </c>
      <c r="N108" s="160">
        <v>1.2072530774282497E-2</v>
      </c>
      <c r="O108" s="160">
        <v>1.1819140234509362E-2</v>
      </c>
      <c r="P108" s="160">
        <v>1.1565749694736227E-2</v>
      </c>
      <c r="Q108" s="160">
        <v>1.1312359154962981E-2</v>
      </c>
      <c r="R108" s="160">
        <v>1.1058968615189846E-2</v>
      </c>
      <c r="S108" s="160">
        <v>1.08055780754166E-2</v>
      </c>
      <c r="AS108" s="66"/>
      <c r="AT108" s="66"/>
    </row>
    <row r="109" spans="2:46" x14ac:dyDescent="0.35">
      <c r="B109" t="str">
        <f t="shared" si="439"/>
        <v>I6 Gimnázium</v>
      </c>
      <c r="C109" t="str">
        <f t="shared" si="439"/>
        <v>Gimnázium</v>
      </c>
      <c r="D109" s="164">
        <f t="shared" si="440"/>
        <v>0</v>
      </c>
      <c r="E109" s="292">
        <f t="shared" si="441"/>
        <v>2.7655112209064368E-3</v>
      </c>
      <c r="F109" s="170">
        <f t="shared" si="442"/>
        <v>2.8415097408042481E-3</v>
      </c>
      <c r="G109" s="170">
        <f t="shared" si="443"/>
        <v>3.1928287387598241E-3</v>
      </c>
      <c r="H109" s="170">
        <f t="shared" si="444"/>
        <v>3.2620297292248793E-3</v>
      </c>
      <c r="I109" s="170">
        <f t="shared" si="445"/>
        <v>3.4764982274894654E-3</v>
      </c>
      <c r="J109" s="170">
        <f t="shared" si="446"/>
        <v>4.147098433424274E-3</v>
      </c>
      <c r="K109" s="170">
        <f t="shared" si="447"/>
        <v>3.7608509353313315E-3</v>
      </c>
      <c r="L109" s="170">
        <f t="shared" si="448"/>
        <v>3.6872661068278155E-3</v>
      </c>
      <c r="M109" s="170" cm="1">
        <f t="array" ref="M109:S109">TREND(E109:L109,$E$66:$L$66,$M$66:$S$66)</f>
        <v>4.1484634856858715E-3</v>
      </c>
      <c r="N109" s="160">
        <v>4.3166333399280443E-3</v>
      </c>
      <c r="O109" s="160">
        <v>4.4848031941702171E-3</v>
      </c>
      <c r="P109" s="160">
        <v>4.6529730484123899E-3</v>
      </c>
      <c r="Q109" s="160">
        <v>4.8211429026545627E-3</v>
      </c>
      <c r="R109" s="160">
        <v>4.9893127568967355E-3</v>
      </c>
      <c r="S109" s="160">
        <v>5.1574826111389638E-3</v>
      </c>
      <c r="AS109" s="66"/>
      <c r="AT109" s="66"/>
    </row>
    <row r="110" spans="2:46" x14ac:dyDescent="0.35">
      <c r="B110" t="str">
        <f t="shared" si="439"/>
        <v>I7 Technikum</v>
      </c>
      <c r="C110" t="str">
        <f t="shared" si="439"/>
        <v>Technikum</v>
      </c>
      <c r="D110" s="164">
        <f t="shared" si="440"/>
        <v>0</v>
      </c>
      <c r="E110" s="292">
        <f t="shared" si="441"/>
        <v>9.0891599508498826E-3</v>
      </c>
      <c r="F110" s="170">
        <f t="shared" si="442"/>
        <v>8.976111550869496E-3</v>
      </c>
      <c r="G110" s="170">
        <f t="shared" si="443"/>
        <v>9.0845640080324287E-3</v>
      </c>
      <c r="H110" s="170">
        <f t="shared" si="444"/>
        <v>8.9125574117059903E-3</v>
      </c>
      <c r="I110" s="170">
        <f t="shared" si="445"/>
        <v>8.5016282126294859E-3</v>
      </c>
      <c r="J110" s="170">
        <f t="shared" si="446"/>
        <v>8.2567784258085163E-3</v>
      </c>
      <c r="K110" s="170">
        <f t="shared" si="447"/>
        <v>7.91922965930489E-3</v>
      </c>
      <c r="L110" s="170">
        <f t="shared" si="448"/>
        <v>7.4318270118948915E-3</v>
      </c>
      <c r="M110" s="170" cm="1">
        <f t="array" ref="M110:S110">TREND(E110:L110,$E$66:$L$66,$M$66:$S$66)</f>
        <v>7.4618377801589642E-3</v>
      </c>
      <c r="N110" s="160">
        <v>7.2263612804416288E-3</v>
      </c>
      <c r="O110" s="160">
        <v>6.9908847807242935E-3</v>
      </c>
      <c r="P110" s="160">
        <v>6.7554082810069582E-3</v>
      </c>
      <c r="Q110" s="160">
        <v>6.5199317812896229E-3</v>
      </c>
      <c r="R110" s="160">
        <v>6.2844552815722876E-3</v>
      </c>
      <c r="S110" s="160">
        <v>6.0489787818549523E-3</v>
      </c>
      <c r="AS110" s="66"/>
      <c r="AT110" s="66"/>
    </row>
    <row r="111" spans="2:46" x14ac:dyDescent="0.35">
      <c r="B111" t="str">
        <f t="shared" si="439"/>
        <v>I8 Főiskola</v>
      </c>
      <c r="C111" t="str">
        <f t="shared" si="439"/>
        <v>Főiskola</v>
      </c>
      <c r="D111" s="164">
        <f t="shared" si="440"/>
        <v>0</v>
      </c>
      <c r="E111" s="292">
        <f t="shared" si="441"/>
        <v>3.6702838995551282E-3</v>
      </c>
      <c r="F111" s="170">
        <f t="shared" si="442"/>
        <v>3.9465413066725663E-3</v>
      </c>
      <c r="G111" s="170">
        <f t="shared" si="443"/>
        <v>4.2073256739538073E-3</v>
      </c>
      <c r="H111" s="170">
        <f t="shared" si="444"/>
        <v>3.9882794550256447E-3</v>
      </c>
      <c r="I111" s="170">
        <f t="shared" si="445"/>
        <v>3.7094529900237611E-3</v>
      </c>
      <c r="J111" s="170">
        <f t="shared" si="446"/>
        <v>3.9353689176067509E-3</v>
      </c>
      <c r="K111" s="170">
        <f t="shared" si="447"/>
        <v>3.8767792685502501E-3</v>
      </c>
      <c r="L111" s="170">
        <f t="shared" si="448"/>
        <v>3.459122584852503E-3</v>
      </c>
      <c r="M111" s="170" cm="1">
        <f t="array" ref="M111:S111">TREND(E111:L111,$E$66:$L$66,$M$66:$S$66)</f>
        <v>3.6926280409100704E-3</v>
      </c>
      <c r="N111" s="160">
        <v>3.6578466584389624E-3</v>
      </c>
      <c r="O111" s="160">
        <v>3.6230652759678544E-3</v>
      </c>
      <c r="P111" s="160">
        <v>3.5882838934967465E-3</v>
      </c>
      <c r="Q111" s="160">
        <v>3.5535025110256385E-3</v>
      </c>
      <c r="R111" s="160">
        <v>3.5187211285545306E-3</v>
      </c>
      <c r="S111" s="160">
        <v>3.4839397460834226E-3</v>
      </c>
      <c r="AS111" s="66"/>
      <c r="AT111" s="66"/>
    </row>
    <row r="112" spans="2:46" x14ac:dyDescent="0.35">
      <c r="B112" t="str">
        <f t="shared" si="439"/>
        <v>I9 Egyetem</v>
      </c>
      <c r="C112" t="str">
        <f t="shared" si="439"/>
        <v>Egyetem</v>
      </c>
      <c r="D112" s="164">
        <f>E60</f>
        <v>0</v>
      </c>
      <c r="E112" s="292">
        <f>I60</f>
        <v>2.3675557656829354E-3</v>
      </c>
      <c r="F112" s="170">
        <f>M60</f>
        <v>2.7915954813078044E-3</v>
      </c>
      <c r="G112" s="170">
        <f>Q60</f>
        <v>2.8972101455944444E-3</v>
      </c>
      <c r="H112" s="170">
        <f>U60</f>
        <v>2.9706094684750634E-3</v>
      </c>
      <c r="I112" s="170">
        <f>Y60</f>
        <v>3.0140237211765957E-3</v>
      </c>
      <c r="J112" s="170">
        <f>AC60</f>
        <v>2.9041124782242826E-3</v>
      </c>
      <c r="K112" s="170">
        <f>AG60</f>
        <v>2.9876861330408798E-3</v>
      </c>
      <c r="L112" s="170">
        <f>AK60</f>
        <v>3.1028147788881412E-3</v>
      </c>
      <c r="M112" s="170" cm="1">
        <f t="array" ref="M112:S112">TREND(E112:L112,$E$66:$L$66,$M$66:$S$66)</f>
        <v>3.2111324752108761E-3</v>
      </c>
      <c r="N112" s="160">
        <v>3.2848394704691197E-3</v>
      </c>
      <c r="O112" s="160">
        <v>3.3585464657273634E-3</v>
      </c>
      <c r="P112" s="160">
        <v>3.4322534609856348E-3</v>
      </c>
      <c r="Q112" s="160">
        <v>3.5059604562438784E-3</v>
      </c>
      <c r="R112" s="160">
        <v>3.5796674515021221E-3</v>
      </c>
      <c r="S112" s="160">
        <v>3.6533744467603657E-3</v>
      </c>
      <c r="AS112" s="66"/>
      <c r="AT112" s="66"/>
    </row>
    <row r="113" spans="2:46" x14ac:dyDescent="0.35">
      <c r="B113" t="str">
        <f t="shared" si="439"/>
        <v>Összesen</v>
      </c>
      <c r="C113" t="str">
        <f t="shared" si="439"/>
        <v>Összesen</v>
      </c>
      <c r="D113" s="165" t="s">
        <v>1118</v>
      </c>
      <c r="E113" s="294">
        <f t="shared" ref="E113" si="449">SUM(E106:E112)</f>
        <v>3.6921665226589462E-2</v>
      </c>
      <c r="F113" s="174">
        <f t="shared" ref="F113" si="450">SUM(F106:F112)</f>
        <v>3.6936431925684757E-2</v>
      </c>
      <c r="G113" s="174">
        <f t="shared" ref="G113" si="451">SUM(G106:G112)</f>
        <v>3.8156322707811267E-2</v>
      </c>
      <c r="H113" s="174">
        <f t="shared" ref="H113" si="452">SUM(H106:H112)</f>
        <v>3.7325508861548728E-2</v>
      </c>
      <c r="I113" s="174">
        <f t="shared" ref="I113" si="453">SUM(I106:I112)</f>
        <v>3.5553437900736409E-2</v>
      </c>
      <c r="J113" s="174">
        <f t="shared" ref="J113" si="454">SUM(J106:J112)</f>
        <v>3.6353886392441977E-2</v>
      </c>
      <c r="K113" s="174">
        <f t="shared" ref="K113" si="455">SUM(K106:K112)</f>
        <v>3.5815518680810801E-2</v>
      </c>
      <c r="L113" s="174">
        <f t="shared" ref="L113" si="456">SUM(L106:L112)</f>
        <v>3.4672877408959614E-2</v>
      </c>
      <c r="M113" s="174">
        <f t="shared" ref="M113" si="457">SUM(M106:M112)</f>
        <v>3.4938806449428338E-2</v>
      </c>
      <c r="N113" s="174">
        <f>SUM(N106:N112)</f>
        <v>3.4599217629729465E-2</v>
      </c>
      <c r="O113" s="175">
        <f t="shared" ref="O113:S113" si="458">SUM(O106:O112)</f>
        <v>3.4259628810030696E-2</v>
      </c>
      <c r="P113" s="175">
        <f t="shared" si="458"/>
        <v>3.3920039990331975E-2</v>
      </c>
      <c r="Q113" s="175">
        <f t="shared" si="458"/>
        <v>3.3580451170633102E-2</v>
      </c>
      <c r="R113" s="175">
        <f t="shared" si="458"/>
        <v>3.3240862350934333E-2</v>
      </c>
      <c r="S113" s="176">
        <f t="shared" si="458"/>
        <v>3.2901273531235516E-2</v>
      </c>
      <c r="AS113" s="66"/>
      <c r="AT113" s="66"/>
    </row>
    <row r="114" spans="2:46" x14ac:dyDescent="0.35">
      <c r="B114" t="s">
        <v>163</v>
      </c>
      <c r="D114" s="166"/>
      <c r="E114" s="54"/>
      <c r="F114" s="54"/>
      <c r="G114" s="54"/>
      <c r="H114" s="54"/>
      <c r="I114" s="54"/>
      <c r="J114" s="54"/>
      <c r="K114" s="54"/>
      <c r="L114" s="54"/>
      <c r="M114" s="69"/>
      <c r="N114" s="65"/>
      <c r="O114" s="66"/>
      <c r="P114" s="66"/>
      <c r="Q114" s="66"/>
      <c r="R114" s="66"/>
      <c r="S114" s="61"/>
    </row>
    <row r="115" spans="2:46" x14ac:dyDescent="0.35">
      <c r="D115" s="167"/>
      <c r="E115" s="11"/>
      <c r="F115" s="11"/>
      <c r="G115" s="11"/>
      <c r="H115" s="11"/>
      <c r="I115" s="11"/>
      <c r="J115" s="11"/>
      <c r="K115" s="11"/>
      <c r="L115" s="11"/>
      <c r="M115" s="47"/>
      <c r="N115" s="65"/>
      <c r="O115" s="66"/>
      <c r="P115" s="66"/>
      <c r="Q115" s="66"/>
      <c r="R115" s="66"/>
      <c r="S115" s="47"/>
    </row>
    <row r="116" spans="2:46" x14ac:dyDescent="0.35">
      <c r="D116" s="162">
        <f>D91</f>
        <v>2010</v>
      </c>
      <c r="E116" s="30">
        <f t="shared" ref="E116:S116" si="459">E91</f>
        <v>2011</v>
      </c>
      <c r="F116" s="30">
        <f t="shared" si="459"/>
        <v>2012</v>
      </c>
      <c r="G116" s="30">
        <f t="shared" si="459"/>
        <v>2013</v>
      </c>
      <c r="H116" s="30">
        <f t="shared" si="459"/>
        <v>2014</v>
      </c>
      <c r="I116" s="30">
        <f t="shared" si="459"/>
        <v>2015</v>
      </c>
      <c r="J116" s="30">
        <f t="shared" si="459"/>
        <v>2016</v>
      </c>
      <c r="K116" s="30">
        <f t="shared" si="459"/>
        <v>2017</v>
      </c>
      <c r="L116" s="30">
        <f t="shared" si="459"/>
        <v>2018</v>
      </c>
      <c r="M116" s="56">
        <f t="shared" si="459"/>
        <v>2019</v>
      </c>
      <c r="N116" s="55">
        <f t="shared" si="459"/>
        <v>2020</v>
      </c>
      <c r="O116" s="30">
        <f t="shared" si="459"/>
        <v>2021</v>
      </c>
      <c r="P116" s="30">
        <f t="shared" si="459"/>
        <v>2022</v>
      </c>
      <c r="Q116" s="30">
        <f t="shared" si="459"/>
        <v>2023</v>
      </c>
      <c r="R116" s="30">
        <f t="shared" si="459"/>
        <v>2024</v>
      </c>
      <c r="S116" s="56">
        <f t="shared" si="459"/>
        <v>2025</v>
      </c>
    </row>
    <row r="117" spans="2:46" x14ac:dyDescent="0.35">
      <c r="D117" s="163" t="str">
        <f t="shared" ref="D117" si="460">F40</f>
        <v>Downstream</v>
      </c>
      <c r="E117" s="71" t="str">
        <f t="shared" ref="E117" si="461">J40</f>
        <v>Downstream</v>
      </c>
      <c r="F117" s="71" t="str">
        <f t="shared" ref="F117" si="462">N40</f>
        <v>Downstream</v>
      </c>
      <c r="G117" s="71" t="str">
        <f t="shared" ref="G117" si="463">R40</f>
        <v>Downstream</v>
      </c>
      <c r="H117" s="71" t="str">
        <f t="shared" ref="H117" si="464">V40</f>
        <v>Downstream</v>
      </c>
      <c r="I117" s="71" t="str">
        <f t="shared" ref="I117" si="465">Z40</f>
        <v>Downstream</v>
      </c>
      <c r="J117" s="71" t="str">
        <f t="shared" ref="J117" si="466">AD40</f>
        <v>Downstream</v>
      </c>
      <c r="K117" s="71" t="str">
        <f t="shared" ref="K117" si="467">AH40</f>
        <v>Downstream</v>
      </c>
      <c r="L117" s="71" t="str">
        <f t="shared" ref="L117" si="468">AL40</f>
        <v>Downstream</v>
      </c>
      <c r="M117" s="72" t="str">
        <f t="shared" ref="M117" si="469">AP40</f>
        <v>Downstream</v>
      </c>
      <c r="N117" s="70" t="str">
        <f>M117</f>
        <v>Downstream</v>
      </c>
      <c r="O117" s="71" t="str">
        <f>N117</f>
        <v>Downstream</v>
      </c>
      <c r="P117" s="71" t="str">
        <f t="shared" ref="P117:S117" si="470">O117</f>
        <v>Downstream</v>
      </c>
      <c r="Q117" s="71" t="str">
        <f t="shared" si="470"/>
        <v>Downstream</v>
      </c>
      <c r="R117" s="71" t="str">
        <f t="shared" si="470"/>
        <v>Downstream</v>
      </c>
      <c r="S117" s="72" t="str">
        <f t="shared" si="470"/>
        <v>Downstream</v>
      </c>
      <c r="AS117" s="71"/>
      <c r="AT117" s="71"/>
    </row>
    <row r="118" spans="2:46" x14ac:dyDescent="0.35">
      <c r="B118" t="str">
        <f t="shared" ref="B118:C128" si="471">B93</f>
        <v>0 FEGYVERES SZERVEK FOGLALKOZÁSAI</v>
      </c>
      <c r="C118" t="str">
        <f t="shared" si="471"/>
        <v>Fegyveresek</v>
      </c>
      <c r="D118" s="164">
        <f>F42</f>
        <v>0</v>
      </c>
      <c r="E118" s="292">
        <f>J42</f>
        <v>1.0825942576251329E-3</v>
      </c>
      <c r="F118" s="170">
        <f>N42</f>
        <v>1.1262827822974123E-3</v>
      </c>
      <c r="G118" s="170">
        <f>R42</f>
        <v>1.115662043876979E-3</v>
      </c>
      <c r="H118" s="170">
        <f>V42</f>
        <v>1.1710926707865321E-3</v>
      </c>
      <c r="I118" s="170">
        <f>Z42</f>
        <v>9.2289587712405098E-4</v>
      </c>
      <c r="J118" s="170">
        <f>AD42</f>
        <v>8.5467080913932648E-4</v>
      </c>
      <c r="K118" s="170">
        <f>AH42</f>
        <v>1.0027225082715951E-3</v>
      </c>
      <c r="L118" s="170">
        <f>AL42</f>
        <v>6.4712397987637621E-4</v>
      </c>
      <c r="M118" s="170" cm="1">
        <f t="array" ref="M118:S118">TREND(E118:L118,$E$66:$L$66,$M$66:$S$66)</f>
        <v>7.3874148332579714E-4</v>
      </c>
      <c r="N118" s="160">
        <v>6.8282167603715693E-4</v>
      </c>
      <c r="O118" s="160">
        <v>6.2690186874851672E-4</v>
      </c>
      <c r="P118" s="160">
        <v>5.7098206145987651E-4</v>
      </c>
      <c r="Q118" s="160">
        <v>5.150622541712363E-4</v>
      </c>
      <c r="R118" s="160">
        <v>4.5914244688259609E-4</v>
      </c>
      <c r="S118" s="160">
        <v>4.0322263959395588E-4</v>
      </c>
      <c r="AS118" s="66"/>
      <c r="AT118" s="66"/>
    </row>
    <row r="119" spans="2:46" x14ac:dyDescent="0.35">
      <c r="B119" t="str">
        <f t="shared" si="471"/>
        <v>1 GAZDASÁGI, IGAZGATÁSI, ÉRDEK-KÉPVISELETI VEZETŐK, TÖRVÉNYHOZÓK</v>
      </c>
      <c r="C119" t="str">
        <f t="shared" si="471"/>
        <v>Vezetők</v>
      </c>
      <c r="D119" s="164">
        <f t="shared" ref="D119:D127" si="472">F43</f>
        <v>0</v>
      </c>
      <c r="E119" s="292">
        <f t="shared" ref="E119:E127" si="473">J43</f>
        <v>8.4426931816268848E-3</v>
      </c>
      <c r="F119" s="170">
        <f t="shared" ref="F119:F127" si="474">N43</f>
        <v>7.5639570066565907E-3</v>
      </c>
      <c r="G119" s="170">
        <f t="shared" ref="G119:G127" si="475">R43</f>
        <v>7.1825885425274277E-3</v>
      </c>
      <c r="H119" s="170">
        <f t="shared" ref="H119:H127" si="476">V43</f>
        <v>7.2847134095665768E-3</v>
      </c>
      <c r="I119" s="170">
        <f t="shared" ref="I119:I127" si="477">Z43</f>
        <v>7.2285677344401346E-3</v>
      </c>
      <c r="J119" s="170">
        <f t="shared" ref="J119:J127" si="478">AD43</f>
        <v>6.9164908543821258E-3</v>
      </c>
      <c r="K119" s="170">
        <f t="shared" ref="K119:K127" si="479">AH43</f>
        <v>6.4821079612085337E-3</v>
      </c>
      <c r="L119" s="170">
        <f t="shared" ref="L119:L127" si="480">AL43</f>
        <v>6.3683143565340895E-3</v>
      </c>
      <c r="M119" s="170" cm="1">
        <f t="array" ref="M119:S119">TREND(E119:L119,$E$66:$L$66,$M$66:$S$66)</f>
        <v>6.0702325732364115E-3</v>
      </c>
      <c r="N119" s="160">
        <v>5.8228000048738404E-3</v>
      </c>
      <c r="O119" s="160">
        <v>5.5753674365113248E-3</v>
      </c>
      <c r="P119" s="160">
        <v>5.3279348681487537E-3</v>
      </c>
      <c r="Q119" s="160">
        <v>5.0805022997862936E-3</v>
      </c>
      <c r="R119" s="160">
        <v>4.8330697314237225E-3</v>
      </c>
      <c r="S119" s="160">
        <v>4.5856371630612625E-3</v>
      </c>
      <c r="AS119" s="66"/>
      <c r="AT119" s="66"/>
    </row>
    <row r="120" spans="2:46" x14ac:dyDescent="0.35">
      <c r="B120" t="str">
        <f t="shared" si="471"/>
        <v>2 FELSŐFOKÚ KÉPZETTSÉG ÖNÁLLÓ ALKALMAZÁSÁT IGÉNYLŐ FOGLALKOZÁSOK</v>
      </c>
      <c r="C120" t="str">
        <f t="shared" si="471"/>
        <v>Felsőfokúak</v>
      </c>
      <c r="D120" s="164">
        <f t="shared" si="472"/>
        <v>0</v>
      </c>
      <c r="E120" s="292">
        <f t="shared" si="473"/>
        <v>3.2773443538188451E-2</v>
      </c>
      <c r="F120" s="170">
        <f t="shared" si="474"/>
        <v>3.3264002199586466E-2</v>
      </c>
      <c r="G120" s="170">
        <f t="shared" si="475"/>
        <v>3.1592439062976388E-2</v>
      </c>
      <c r="H120" s="170">
        <f t="shared" si="476"/>
        <v>3.196715291865642E-2</v>
      </c>
      <c r="I120" s="170">
        <f t="shared" si="477"/>
        <v>3.1200773713470988E-2</v>
      </c>
      <c r="J120" s="170">
        <f t="shared" si="478"/>
        <v>2.9805110587224043E-2</v>
      </c>
      <c r="K120" s="170">
        <f t="shared" si="479"/>
        <v>2.7969998648041006E-2</v>
      </c>
      <c r="L120" s="170">
        <f t="shared" si="480"/>
        <v>2.8306865190282259E-2</v>
      </c>
      <c r="M120" s="170" cm="1">
        <f t="array" ref="M120:S120">TREND(E120:L120,$E$66:$L$66,$M$66:$S$66)</f>
        <v>2.7438664438079075E-2</v>
      </c>
      <c r="N120" s="160">
        <v>2.6678373594918314E-2</v>
      </c>
      <c r="O120" s="160">
        <v>2.5918082751757332E-2</v>
      </c>
      <c r="P120" s="160">
        <v>2.5157791908596572E-2</v>
      </c>
      <c r="Q120" s="160">
        <v>2.4397501065435589E-2</v>
      </c>
      <c r="R120" s="160">
        <v>2.3637210222274829E-2</v>
      </c>
      <c r="S120" s="160">
        <v>2.2876919379113847E-2</v>
      </c>
      <c r="AS120" s="66"/>
      <c r="AT120" s="66"/>
    </row>
    <row r="121" spans="2:46" x14ac:dyDescent="0.35">
      <c r="B121" t="str">
        <f t="shared" si="471"/>
        <v>3 EGYÉB FELSŐFOKÚ VAGY KÖZÉPFOKÚ KÉPZETTSÉGET IGÉNYLŐ FOGLALKOZÁSOK</v>
      </c>
      <c r="C121" t="str">
        <f t="shared" si="471"/>
        <v>Egyéb felső</v>
      </c>
      <c r="D121" s="164">
        <f t="shared" si="472"/>
        <v>0</v>
      </c>
      <c r="E121" s="292">
        <f t="shared" si="473"/>
        <v>2.3013586450824273E-2</v>
      </c>
      <c r="F121" s="170">
        <f t="shared" si="474"/>
        <v>2.5169452383379257E-2</v>
      </c>
      <c r="G121" s="170">
        <f t="shared" si="475"/>
        <v>2.4577027343007235E-2</v>
      </c>
      <c r="H121" s="170">
        <f t="shared" si="476"/>
        <v>2.5973482372571494E-2</v>
      </c>
      <c r="I121" s="170">
        <f t="shared" si="477"/>
        <v>2.5785263911853217E-2</v>
      </c>
      <c r="J121" s="170">
        <f t="shared" si="478"/>
        <v>2.5160517375036631E-2</v>
      </c>
      <c r="K121" s="170">
        <f t="shared" si="479"/>
        <v>2.4273612019091794E-2</v>
      </c>
      <c r="L121" s="170">
        <f t="shared" si="480"/>
        <v>2.2699797165887572E-2</v>
      </c>
      <c r="M121" s="170" cm="1">
        <f t="array" ref="M121:S121">TREND(E121:L121,$E$66:$L$66,$M$66:$S$66)</f>
        <v>2.4307656207315842E-2</v>
      </c>
      <c r="N121" s="160">
        <v>2.4246781502784601E-2</v>
      </c>
      <c r="O121" s="160">
        <v>2.4185906798253359E-2</v>
      </c>
      <c r="P121" s="160">
        <v>2.4125032093722118E-2</v>
      </c>
      <c r="Q121" s="160">
        <v>2.4064157389190877E-2</v>
      </c>
      <c r="R121" s="160">
        <v>2.4003282684659635E-2</v>
      </c>
      <c r="S121" s="160">
        <v>2.3942407980128394E-2</v>
      </c>
      <c r="AS121" s="66"/>
      <c r="AT121" s="66"/>
    </row>
    <row r="122" spans="2:46" x14ac:dyDescent="0.35">
      <c r="B122" t="str">
        <f t="shared" si="471"/>
        <v>4 IRODAI ÉS ÜGYVITELI (ÜGYFÉLKAPCSOLATI) FOGLALKOZÁSOK</v>
      </c>
      <c r="C122" t="str">
        <f t="shared" si="471"/>
        <v>Iroda-ügyvitel</v>
      </c>
      <c r="D122" s="164">
        <f t="shared" si="472"/>
        <v>0</v>
      </c>
      <c r="E122" s="292">
        <f t="shared" si="473"/>
        <v>7.8347713789789046E-3</v>
      </c>
      <c r="F122" s="170">
        <f t="shared" si="474"/>
        <v>7.7062818143842178E-3</v>
      </c>
      <c r="G122" s="170">
        <f t="shared" si="475"/>
        <v>6.7204198134972826E-3</v>
      </c>
      <c r="H122" s="170">
        <f t="shared" si="476"/>
        <v>7.0193897258668527E-3</v>
      </c>
      <c r="I122" s="170">
        <f t="shared" si="477"/>
        <v>7.0622601328892351E-3</v>
      </c>
      <c r="J122" s="170">
        <f t="shared" si="478"/>
        <v>7.1044610612401972E-3</v>
      </c>
      <c r="K122" s="170">
        <f t="shared" si="479"/>
        <v>6.4625229418571271E-3</v>
      </c>
      <c r="L122" s="170">
        <f t="shared" si="480"/>
        <v>7.3094289998503099E-3</v>
      </c>
      <c r="M122" s="170" cm="1">
        <f t="array" ref="M122:S122">TREND(E122:L122,$E$66:$L$66,$M$66:$S$66)</f>
        <v>6.6863064371624203E-3</v>
      </c>
      <c r="N122" s="160">
        <v>6.5827207601828197E-3</v>
      </c>
      <c r="O122" s="160">
        <v>6.4791350832032468E-3</v>
      </c>
      <c r="P122" s="160">
        <v>6.3755494062236739E-3</v>
      </c>
      <c r="Q122" s="160">
        <v>6.2719637292441011E-3</v>
      </c>
      <c r="R122" s="160">
        <v>6.1683780522645282E-3</v>
      </c>
      <c r="S122" s="160">
        <v>6.0647923752849553E-3</v>
      </c>
      <c r="AS122" s="66"/>
      <c r="AT122" s="66"/>
    </row>
    <row r="123" spans="2:46" x14ac:dyDescent="0.35">
      <c r="B123" t="str">
        <f t="shared" si="471"/>
        <v>5 KERESKEDELMI ÉS SZOLGÁLTATÁSI FOGLALKOZÁSOK</v>
      </c>
      <c r="C123" t="str">
        <f t="shared" si="471"/>
        <v>Ker-szolg</v>
      </c>
      <c r="D123" s="164">
        <f t="shared" si="472"/>
        <v>0</v>
      </c>
      <c r="E123" s="292">
        <f t="shared" si="473"/>
        <v>4.1174048430285541E-2</v>
      </c>
      <c r="F123" s="170">
        <f t="shared" si="474"/>
        <v>4.2669662590039258E-2</v>
      </c>
      <c r="G123" s="170">
        <f t="shared" si="475"/>
        <v>4.0239461189776171E-2</v>
      </c>
      <c r="H123" s="170">
        <f t="shared" si="476"/>
        <v>4.0103546821590959E-2</v>
      </c>
      <c r="I123" s="170">
        <f t="shared" si="477"/>
        <v>4.0514988835729661E-2</v>
      </c>
      <c r="J123" s="170">
        <f t="shared" si="478"/>
        <v>3.9446332778406402E-2</v>
      </c>
      <c r="K123" s="170">
        <f t="shared" si="479"/>
        <v>3.8227519172313179E-2</v>
      </c>
      <c r="L123" s="170">
        <f t="shared" si="480"/>
        <v>3.6061730239279957E-2</v>
      </c>
      <c r="M123" s="170" cm="1">
        <f t="array" ref="M123:S123">TREND(E123:L123,$E$66:$L$66,$M$66:$S$66)</f>
        <v>3.659225656187548E-2</v>
      </c>
      <c r="N123" s="160">
        <v>3.5878388851808385E-2</v>
      </c>
      <c r="O123" s="160">
        <v>3.516452114174129E-2</v>
      </c>
      <c r="P123" s="160">
        <v>3.4450653431674194E-2</v>
      </c>
      <c r="Q123" s="160">
        <v>3.3736785721606877E-2</v>
      </c>
      <c r="R123" s="160">
        <v>3.3022918011539781E-2</v>
      </c>
      <c r="S123" s="160">
        <v>3.2309050301472686E-2</v>
      </c>
      <c r="AS123" s="66"/>
      <c r="AT123" s="66"/>
    </row>
    <row r="124" spans="2:46" x14ac:dyDescent="0.35">
      <c r="B124" t="str">
        <f t="shared" si="471"/>
        <v>6 MEZŐGAZDASÁGI ÉS ERDŐGAZDÁLKODÁSI FOGLALKOZÁSOK</v>
      </c>
      <c r="C124" t="str">
        <f t="shared" si="471"/>
        <v>Mező-erdő</v>
      </c>
      <c r="D124" s="164">
        <f t="shared" si="472"/>
        <v>0</v>
      </c>
      <c r="E124" s="292">
        <f t="shared" si="473"/>
        <v>4.3530539106351174E-4</v>
      </c>
      <c r="F124" s="170">
        <f t="shared" si="474"/>
        <v>5.9365279267522067E-4</v>
      </c>
      <c r="G124" s="170">
        <f t="shared" si="475"/>
        <v>3.8601039875359834E-4</v>
      </c>
      <c r="H124" s="170">
        <f t="shared" si="476"/>
        <v>2.4450729179530855E-4</v>
      </c>
      <c r="I124" s="170">
        <f t="shared" si="477"/>
        <v>3.3071878523582317E-4</v>
      </c>
      <c r="J124" s="170">
        <f t="shared" si="478"/>
        <v>3.7323122039983273E-4</v>
      </c>
      <c r="K124" s="170">
        <f t="shared" si="479"/>
        <v>4.0419822038854995E-4</v>
      </c>
      <c r="L124" s="170">
        <f t="shared" si="480"/>
        <v>2.9607214030501905E-4</v>
      </c>
      <c r="M124" s="170" cm="1">
        <f t="array" ref="M124:S124">TREND(E124:L124,$E$66:$L$66,$M$66:$S$66)</f>
        <v>2.8256747695048351E-4</v>
      </c>
      <c r="N124" s="160">
        <v>2.6025757625568191E-4</v>
      </c>
      <c r="O124" s="160">
        <v>2.3794767556088031E-4</v>
      </c>
      <c r="P124" s="160">
        <v>2.1563777486607177E-4</v>
      </c>
      <c r="Q124" s="160">
        <v>1.9332787417127018E-4</v>
      </c>
      <c r="R124" s="160">
        <v>1.7101797347646164E-4</v>
      </c>
      <c r="S124" s="160">
        <v>1.4870807278166004E-4</v>
      </c>
      <c r="AS124" s="66"/>
      <c r="AT124" s="66"/>
    </row>
    <row r="125" spans="2:46" x14ac:dyDescent="0.35">
      <c r="B125" t="str">
        <f t="shared" si="471"/>
        <v>7 IPARI ÉS ÉPÍTŐIPARI FOGLALKOZÁSOK</v>
      </c>
      <c r="C125" t="str">
        <f t="shared" si="471"/>
        <v>ipar-épip.</v>
      </c>
      <c r="D125" s="164">
        <f t="shared" si="472"/>
        <v>0</v>
      </c>
      <c r="E125" s="292">
        <f t="shared" si="473"/>
        <v>3.5215380698601201E-3</v>
      </c>
      <c r="F125" s="170">
        <f t="shared" si="474"/>
        <v>3.9775940897463901E-3</v>
      </c>
      <c r="G125" s="170">
        <f t="shared" si="475"/>
        <v>3.9423655986360858E-3</v>
      </c>
      <c r="H125" s="170">
        <f t="shared" si="476"/>
        <v>4.1943323425766054E-3</v>
      </c>
      <c r="I125" s="170">
        <f t="shared" si="477"/>
        <v>4.0051520799875614E-3</v>
      </c>
      <c r="J125" s="170">
        <f t="shared" si="478"/>
        <v>3.6915149399409587E-3</v>
      </c>
      <c r="K125" s="170">
        <f t="shared" si="479"/>
        <v>3.7849383506859185E-3</v>
      </c>
      <c r="L125" s="170">
        <f t="shared" si="480"/>
        <v>3.8668815900443397E-3</v>
      </c>
      <c r="M125" s="170" cm="1">
        <f t="array" ref="M125:S125">TREND(E125:L125,$E$66:$L$66,$M$66:$S$66)</f>
        <v>3.9004892955765008E-3</v>
      </c>
      <c r="N125" s="160">
        <v>3.9065892206635571E-3</v>
      </c>
      <c r="O125" s="160">
        <v>3.9126891457506134E-3</v>
      </c>
      <c r="P125" s="160">
        <v>3.9187890708376697E-3</v>
      </c>
      <c r="Q125" s="160">
        <v>3.9248889959247277E-3</v>
      </c>
      <c r="R125" s="160">
        <v>3.930988921011784E-3</v>
      </c>
      <c r="S125" s="160">
        <v>3.9370888460988403E-3</v>
      </c>
      <c r="AS125" s="66"/>
      <c r="AT125" s="66"/>
    </row>
    <row r="126" spans="2:46" x14ac:dyDescent="0.35">
      <c r="B126" t="str">
        <f t="shared" si="471"/>
        <v>8 GÉPKEZELŐK, ÖSSZESZERELŐK, JÁRMŰVEZETŐK</v>
      </c>
      <c r="C126" t="str">
        <f t="shared" si="471"/>
        <v>Összeszerelők</v>
      </c>
      <c r="D126" s="164">
        <f t="shared" si="472"/>
        <v>0</v>
      </c>
      <c r="E126" s="292">
        <f t="shared" si="473"/>
        <v>2.6133743742302222E-3</v>
      </c>
      <c r="F126" s="170">
        <f t="shared" si="474"/>
        <v>2.6858367261807484E-3</v>
      </c>
      <c r="G126" s="170">
        <f t="shared" si="475"/>
        <v>2.7516066646257878E-3</v>
      </c>
      <c r="H126" s="170">
        <f t="shared" si="476"/>
        <v>2.3560913738698668E-3</v>
      </c>
      <c r="I126" s="170">
        <f t="shared" si="477"/>
        <v>1.9713675981558954E-3</v>
      </c>
      <c r="J126" s="170">
        <f t="shared" si="478"/>
        <v>2.1270354819285086E-3</v>
      </c>
      <c r="K126" s="170">
        <f t="shared" si="479"/>
        <v>1.9649794707237481E-3</v>
      </c>
      <c r="L126" s="170">
        <f t="shared" si="480"/>
        <v>2.2724703113205353E-3</v>
      </c>
      <c r="M126" s="170" cm="1">
        <f t="array" ref="M126:S126">TREND(E126:L126,$E$66:$L$66,$M$66:$S$66)</f>
        <v>1.9009317479084242E-3</v>
      </c>
      <c r="N126" s="160">
        <v>1.8027287474148557E-3</v>
      </c>
      <c r="O126" s="160">
        <v>1.7045257469213149E-3</v>
      </c>
      <c r="P126" s="160">
        <v>1.6063227464277463E-3</v>
      </c>
      <c r="Q126" s="160">
        <v>1.5081197459342055E-3</v>
      </c>
      <c r="R126" s="160">
        <v>1.4099167454406369E-3</v>
      </c>
      <c r="S126" s="160">
        <v>1.3117137449470961E-3</v>
      </c>
      <c r="AS126" s="66"/>
      <c r="AT126" s="66"/>
    </row>
    <row r="127" spans="2:46" x14ac:dyDescent="0.35">
      <c r="B127" t="str">
        <f t="shared" si="471"/>
        <v>9 SZAKKÉPZETTSÉGET NEM IGÉNYLŐ (EGYSZERŰ) FOGLALKOZÁSOK</v>
      </c>
      <c r="C127" t="str">
        <f t="shared" si="471"/>
        <v>szakképzetlen</v>
      </c>
      <c r="D127" s="164">
        <f t="shared" si="472"/>
        <v>0</v>
      </c>
      <c r="E127" s="292">
        <f t="shared" si="473"/>
        <v>1.167423930832592E-2</v>
      </c>
      <c r="F127" s="170">
        <f t="shared" si="474"/>
        <v>1.196732173136175E-2</v>
      </c>
      <c r="G127" s="170">
        <f t="shared" si="475"/>
        <v>1.0575305053662399E-2</v>
      </c>
      <c r="H127" s="170">
        <f t="shared" si="476"/>
        <v>9.6771481561875941E-3</v>
      </c>
      <c r="I127" s="170">
        <f t="shared" si="477"/>
        <v>9.3628623631684515E-3</v>
      </c>
      <c r="J127" s="170">
        <f t="shared" si="478"/>
        <v>1.0531670288528243E-2</v>
      </c>
      <c r="K127" s="170">
        <f t="shared" si="479"/>
        <v>1.0540017281998482E-2</v>
      </c>
      <c r="L127" s="170">
        <f t="shared" si="480"/>
        <v>9.3176952994222934E-3</v>
      </c>
      <c r="M127" s="170" cm="1">
        <f t="array" ref="M127:S127">TREND(E127:L127,$E$66:$L$66,$M$66:$S$66)</f>
        <v>9.1659152711767167E-3</v>
      </c>
      <c r="N127" s="160">
        <v>8.8792781235866869E-3</v>
      </c>
      <c r="O127" s="160">
        <v>8.5926409759965461E-3</v>
      </c>
      <c r="P127" s="160">
        <v>8.3060038284065163E-3</v>
      </c>
      <c r="Q127" s="160">
        <v>8.0193666808164865E-3</v>
      </c>
      <c r="R127" s="160">
        <v>7.7327295332264567E-3</v>
      </c>
      <c r="S127" s="160">
        <v>7.4460923856364269E-3</v>
      </c>
      <c r="AS127" s="66"/>
      <c r="AT127" s="66"/>
    </row>
    <row r="128" spans="2:46" x14ac:dyDescent="0.35">
      <c r="B128" t="str">
        <f t="shared" si="471"/>
        <v>Összesen</v>
      </c>
      <c r="C128" t="str">
        <f t="shared" si="471"/>
        <v>összesen</v>
      </c>
      <c r="D128" s="165" t="s">
        <v>955</v>
      </c>
      <c r="E128" s="294">
        <f t="shared" ref="E128" si="481">SUM(E121:E127)</f>
        <v>9.0266863403568487E-2</v>
      </c>
      <c r="F128" s="174">
        <f t="shared" ref="F128" si="482">SUM(F121:F127)</f>
        <v>9.4769802127766839E-2</v>
      </c>
      <c r="G128" s="174">
        <f t="shared" ref="G128" si="483">SUM(G121:G127)</f>
        <v>8.9192196061958551E-2</v>
      </c>
      <c r="H128" s="174">
        <f t="shared" ref="H128" si="484">SUM(H121:H127)</f>
        <v>8.9568498084458686E-2</v>
      </c>
      <c r="I128" s="174">
        <f t="shared" ref="I128" si="485">SUM(I121:I127)</f>
        <v>8.9032613707019842E-2</v>
      </c>
      <c r="J128" s="174">
        <f t="shared" ref="J128" si="486">SUM(J121:J127)</f>
        <v>8.8434763145480794E-2</v>
      </c>
      <c r="K128" s="174">
        <f t="shared" ref="K128" si="487">SUM(K121:K127)</f>
        <v>8.5657787457058793E-2</v>
      </c>
      <c r="L128" s="174">
        <f t="shared" ref="L128" si="488">SUM(L121:L127)</f>
        <v>8.1824075746110031E-2</v>
      </c>
      <c r="M128" s="174">
        <f t="shared" ref="M128" si="489">SUM(M121:M127)</f>
        <v>8.2836122997965875E-2</v>
      </c>
      <c r="N128" s="174">
        <f>SUM(N121:N127)</f>
        <v>8.1556744782696589E-2</v>
      </c>
      <c r="O128" s="175">
        <f t="shared" ref="O128:S128" si="490">SUM(O121:O127)</f>
        <v>8.0277366567427247E-2</v>
      </c>
      <c r="P128" s="175">
        <f t="shared" si="490"/>
        <v>7.8997988352157988E-2</v>
      </c>
      <c r="Q128" s="175">
        <f t="shared" si="490"/>
        <v>7.771861013688855E-2</v>
      </c>
      <c r="R128" s="175">
        <f t="shared" si="490"/>
        <v>7.6439231921619277E-2</v>
      </c>
      <c r="S128" s="176">
        <f t="shared" si="490"/>
        <v>7.515985370635006E-2</v>
      </c>
      <c r="AS128" s="66"/>
      <c r="AT128" s="66"/>
    </row>
    <row r="129" spans="2:46" x14ac:dyDescent="0.35">
      <c r="B129" t="str">
        <f>B104</f>
        <v>Kontrol (jó-e az összegzés)</v>
      </c>
      <c r="D129" s="166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5"/>
      <c r="P129" s="175"/>
      <c r="Q129" s="175"/>
      <c r="R129" s="175"/>
      <c r="S129" s="176"/>
      <c r="AS129" s="66"/>
      <c r="AT129" s="66"/>
    </row>
    <row r="130" spans="2:46" x14ac:dyDescent="0.35">
      <c r="D130" s="166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5"/>
      <c r="P130" s="175"/>
      <c r="Q130" s="175"/>
      <c r="R130" s="175"/>
      <c r="S130" s="176"/>
      <c r="AS130" s="66"/>
      <c r="AT130" s="66"/>
    </row>
    <row r="131" spans="2:46" x14ac:dyDescent="0.35">
      <c r="B131" t="str">
        <f t="shared" ref="B131:C138" si="491">B106</f>
        <v>I1 Általános Iskola 0-7 osztály</v>
      </c>
      <c r="C131" t="str">
        <f t="shared" si="491"/>
        <v>0-7 osztály</v>
      </c>
      <c r="D131" s="164">
        <f>F54</f>
        <v>0</v>
      </c>
      <c r="E131" s="292">
        <f>J54</f>
        <v>1.4522274038188837E-4</v>
      </c>
      <c r="F131" s="170">
        <f>N54</f>
        <v>1.7158612148294867E-4</v>
      </c>
      <c r="G131" s="170">
        <f>R54</f>
        <v>1.3038023092639873E-4</v>
      </c>
      <c r="H131" s="170">
        <f>V54</f>
        <v>1.3044370172889978E-4</v>
      </c>
      <c r="I131" s="170">
        <f>Z54</f>
        <v>1.2145319637306594E-4</v>
      </c>
      <c r="J131" s="170">
        <f>AD54</f>
        <v>2.134684968939265E-4</v>
      </c>
      <c r="K131" s="170">
        <f>AH54</f>
        <v>2.5369077595653898E-4</v>
      </c>
      <c r="L131" s="170">
        <f>AL54</f>
        <v>2.086501119676825E-4</v>
      </c>
      <c r="M131" s="170" cm="1">
        <f t="array" ref="M131:S131">TREND(E131:L131,$E$66:$L$66,$M$66:$S$66)</f>
        <v>2.3051134157187764E-4</v>
      </c>
      <c r="N131" s="160">
        <v>2.4354454592919947E-4</v>
      </c>
      <c r="O131" s="160">
        <v>2.5657775028652477E-4</v>
      </c>
      <c r="P131" s="160">
        <v>2.6961095464385007E-4</v>
      </c>
      <c r="Q131" s="160">
        <v>2.8264415900117537E-4</v>
      </c>
      <c r="R131" s="160">
        <v>2.956773633584972E-4</v>
      </c>
      <c r="S131" s="160">
        <v>3.087105677158225E-4</v>
      </c>
      <c r="AS131" s="66"/>
      <c r="AT131" s="66"/>
    </row>
    <row r="132" spans="2:46" x14ac:dyDescent="0.35">
      <c r="B132" t="str">
        <f t="shared" si="491"/>
        <v>I2 Általános Iskola 8 osztály</v>
      </c>
      <c r="C132" t="str">
        <f t="shared" si="491"/>
        <v>8 osztály</v>
      </c>
      <c r="D132" s="164">
        <f t="shared" ref="D132:D137" si="492">F55</f>
        <v>0</v>
      </c>
      <c r="E132" s="292">
        <f t="shared" ref="E132:E137" si="493">J55</f>
        <v>9.7779985914718433E-3</v>
      </c>
      <c r="F132" s="170">
        <f t="shared" ref="F132:F137" si="494">N55</f>
        <v>8.8471026544651287E-3</v>
      </c>
      <c r="G132" s="170">
        <f t="shared" ref="G132:G137" si="495">R55</f>
        <v>7.9032179464333784E-3</v>
      </c>
      <c r="H132" s="170">
        <f t="shared" ref="H132:H137" si="496">V55</f>
        <v>7.6836373790134934E-3</v>
      </c>
      <c r="I132" s="170">
        <f t="shared" ref="I132:I137" si="497">Z55</f>
        <v>7.5924326058551652E-3</v>
      </c>
      <c r="J132" s="170">
        <f t="shared" ref="J132:J137" si="498">AD55</f>
        <v>7.9587334595977149E-3</v>
      </c>
      <c r="K132" s="170">
        <f t="shared" ref="K132:K137" si="499">AH55</f>
        <v>7.8194523370755508E-3</v>
      </c>
      <c r="L132" s="170">
        <f t="shared" ref="L132:L137" si="500">AL55</f>
        <v>7.1111144971441843E-3</v>
      </c>
      <c r="M132" s="170" cm="1">
        <f t="array" ref="M132:S132">TREND(E132:L132,$E$66:$L$66,$M$66:$S$66)</f>
        <v>6.8154023366906458E-3</v>
      </c>
      <c r="N132" s="160">
        <v>6.5328892595369892E-3</v>
      </c>
      <c r="O132" s="160">
        <v>6.2503761823833326E-3</v>
      </c>
      <c r="P132" s="160">
        <v>5.967863105229676E-3</v>
      </c>
      <c r="Q132" s="160">
        <v>5.6853500280760194E-3</v>
      </c>
      <c r="R132" s="160">
        <v>5.4028369509223628E-3</v>
      </c>
      <c r="S132" s="160">
        <v>5.1203238737687062E-3</v>
      </c>
      <c r="AS132" s="66"/>
      <c r="AT132" s="66"/>
    </row>
    <row r="133" spans="2:46" x14ac:dyDescent="0.35">
      <c r="B133" t="str">
        <f t="shared" si="491"/>
        <v>I3-I5 Szakiskola, Szakmunkásképző iskola, Szakközépiskola</v>
      </c>
      <c r="C133" t="str">
        <f t="shared" si="491"/>
        <v>szakiskola</v>
      </c>
      <c r="D133" s="164">
        <f t="shared" si="492"/>
        <v>0</v>
      </c>
      <c r="E133" s="292">
        <f t="shared" si="493"/>
        <v>2.7817003200932267E-2</v>
      </c>
      <c r="F133" s="170">
        <f t="shared" si="494"/>
        <v>2.8574969269390269E-2</v>
      </c>
      <c r="G133" s="170">
        <f t="shared" si="495"/>
        <v>2.6872303199390626E-2</v>
      </c>
      <c r="H133" s="170">
        <f t="shared" si="496"/>
        <v>2.5479007751760048E-2</v>
      </c>
      <c r="I133" s="170">
        <f t="shared" si="497"/>
        <v>2.4538657750302385E-2</v>
      </c>
      <c r="J133" s="170">
        <f t="shared" si="498"/>
        <v>2.3930623291588422E-2</v>
      </c>
      <c r="K133" s="170">
        <f t="shared" si="499"/>
        <v>2.3460185962450131E-2</v>
      </c>
      <c r="L133" s="170">
        <f t="shared" si="500"/>
        <v>2.3384746604658675E-2</v>
      </c>
      <c r="M133" s="170" cm="1">
        <f t="array" ref="M133:S133">TREND(E133:L133,$E$66:$L$66,$M$66:$S$66)</f>
        <v>2.1951913784158172E-2</v>
      </c>
      <c r="N133" s="160">
        <v>2.1161853040902567E-2</v>
      </c>
      <c r="O133" s="160">
        <v>2.037179229764674E-2</v>
      </c>
      <c r="P133" s="160">
        <v>1.9581731554391135E-2</v>
      </c>
      <c r="Q133" s="160">
        <v>1.8791670811135308E-2</v>
      </c>
      <c r="R133" s="160">
        <v>1.8001610067879703E-2</v>
      </c>
      <c r="S133" s="160">
        <v>1.7211549324623876E-2</v>
      </c>
      <c r="AS133" s="66"/>
      <c r="AT133" s="66"/>
    </row>
    <row r="134" spans="2:46" x14ac:dyDescent="0.35">
      <c r="B134" t="str">
        <f t="shared" si="491"/>
        <v>I6 Gimnázium</v>
      </c>
      <c r="C134" t="str">
        <f t="shared" si="491"/>
        <v>Gimnázium</v>
      </c>
      <c r="D134" s="164">
        <f t="shared" si="492"/>
        <v>0</v>
      </c>
      <c r="E134" s="292">
        <f t="shared" si="493"/>
        <v>1.402048003457072E-2</v>
      </c>
      <c r="F134" s="170">
        <f t="shared" si="494"/>
        <v>1.4453885206904989E-2</v>
      </c>
      <c r="G134" s="170">
        <f t="shared" si="495"/>
        <v>1.4055767283304148E-2</v>
      </c>
      <c r="H134" s="170">
        <f t="shared" si="496"/>
        <v>1.5360279085337799E-2</v>
      </c>
      <c r="I134" s="170">
        <f t="shared" si="497"/>
        <v>1.6981350101443093E-2</v>
      </c>
      <c r="J134" s="170">
        <f t="shared" si="498"/>
        <v>1.755605078262458E-2</v>
      </c>
      <c r="K134" s="170">
        <f t="shared" si="499"/>
        <v>1.6563287105017074E-2</v>
      </c>
      <c r="L134" s="170">
        <f t="shared" si="500"/>
        <v>1.5303879213536041E-2</v>
      </c>
      <c r="M134" s="170" cm="1">
        <f t="array" ref="M134:S134">TREND(E134:L134,$E$66:$L$66,$M$66:$S$66)</f>
        <v>1.7232554061809346E-2</v>
      </c>
      <c r="N134" s="160">
        <v>1.7609372219635322E-2</v>
      </c>
      <c r="O134" s="160">
        <v>1.7986190377461297E-2</v>
      </c>
      <c r="P134" s="160">
        <v>1.8363008535287384E-2</v>
      </c>
      <c r="Q134" s="160">
        <v>1.8739826693113359E-2</v>
      </c>
      <c r="R134" s="160">
        <v>1.9116644850939335E-2</v>
      </c>
      <c r="S134" s="160">
        <v>1.949346300876531E-2</v>
      </c>
      <c r="AS134" s="66"/>
      <c r="AT134" s="66"/>
    </row>
    <row r="135" spans="2:46" x14ac:dyDescent="0.35">
      <c r="B135" t="str">
        <f t="shared" si="491"/>
        <v>I7 Technikum</v>
      </c>
      <c r="C135" t="str">
        <f t="shared" si="491"/>
        <v>Technikum</v>
      </c>
      <c r="D135" s="164">
        <f t="shared" si="492"/>
        <v>0</v>
      </c>
      <c r="E135" s="292">
        <f t="shared" si="493"/>
        <v>3.45601095702322E-2</v>
      </c>
      <c r="F135" s="170">
        <f t="shared" si="494"/>
        <v>3.6492932613029765E-2</v>
      </c>
      <c r="G135" s="170">
        <f t="shared" si="495"/>
        <v>3.3631288671425161E-2</v>
      </c>
      <c r="H135" s="170">
        <f t="shared" si="496"/>
        <v>3.3585883328469464E-2</v>
      </c>
      <c r="I135" s="170">
        <f t="shared" si="497"/>
        <v>3.1146107407160502E-2</v>
      </c>
      <c r="J135" s="170">
        <f t="shared" si="498"/>
        <v>3.0790300768484408E-2</v>
      </c>
      <c r="K135" s="170">
        <f t="shared" si="499"/>
        <v>2.9840558511852723E-2</v>
      </c>
      <c r="L135" s="170">
        <f t="shared" si="500"/>
        <v>2.7476714796399147E-2</v>
      </c>
      <c r="M135" s="170" cm="1">
        <f t="array" ref="M135:S135">TREND(E135:L135,$E$66:$L$66,$M$66:$S$66)</f>
        <v>2.7165038375193351E-2</v>
      </c>
      <c r="N135" s="160">
        <v>2.6048272023373453E-2</v>
      </c>
      <c r="O135" s="160">
        <v>2.4931505671554E-2</v>
      </c>
      <c r="P135" s="160">
        <v>2.3814739319734546E-2</v>
      </c>
      <c r="Q135" s="160">
        <v>2.2697972967914648E-2</v>
      </c>
      <c r="R135" s="160">
        <v>2.1581206616095194E-2</v>
      </c>
      <c r="S135" s="160">
        <v>2.0464440264275296E-2</v>
      </c>
      <c r="AS135" s="66"/>
      <c r="AT135" s="66"/>
    </row>
    <row r="136" spans="2:46" x14ac:dyDescent="0.35">
      <c r="B136" t="str">
        <f t="shared" si="491"/>
        <v>I8 Főiskola</v>
      </c>
      <c r="C136" t="str">
        <f t="shared" si="491"/>
        <v>Főiskola</v>
      </c>
      <c r="D136" s="164">
        <f t="shared" si="492"/>
        <v>0</v>
      </c>
      <c r="E136" s="292">
        <f t="shared" si="493"/>
        <v>2.841168170558165E-2</v>
      </c>
      <c r="F136" s="170">
        <f t="shared" si="494"/>
        <v>3.0269347494374075E-2</v>
      </c>
      <c r="G136" s="170">
        <f t="shared" si="495"/>
        <v>2.8758216973869422E-2</v>
      </c>
      <c r="H136" s="170">
        <f t="shared" si="496"/>
        <v>2.9395901953053211E-2</v>
      </c>
      <c r="I136" s="170">
        <f t="shared" si="497"/>
        <v>2.9497790469825837E-2</v>
      </c>
      <c r="J136" s="170">
        <f t="shared" si="498"/>
        <v>2.8227642937724583E-2</v>
      </c>
      <c r="K136" s="170">
        <f t="shared" si="499"/>
        <v>2.5987567934393239E-2</v>
      </c>
      <c r="L136" s="170">
        <f t="shared" si="500"/>
        <v>2.4864963756055139E-2</v>
      </c>
      <c r="M136" s="170" cm="1">
        <f t="array" ref="M136:S136">TREND(E136:L136,$E$66:$L$66,$M$66:$S$66)</f>
        <v>2.5619902168917852E-2</v>
      </c>
      <c r="N136" s="160">
        <v>2.5051738394652912E-2</v>
      </c>
      <c r="O136" s="160">
        <v>2.4483574620387971E-2</v>
      </c>
      <c r="P136" s="160">
        <v>2.3915410846123031E-2</v>
      </c>
      <c r="Q136" s="160">
        <v>2.3347247071858312E-2</v>
      </c>
      <c r="R136" s="160">
        <v>2.2779083297593372E-2</v>
      </c>
      <c r="S136" s="160">
        <v>2.2210919523328432E-2</v>
      </c>
      <c r="AS136" s="66"/>
      <c r="AT136" s="66"/>
    </row>
    <row r="137" spans="2:46" x14ac:dyDescent="0.35">
      <c r="B137" t="str">
        <f t="shared" si="491"/>
        <v>I9 Egyetem</v>
      </c>
      <c r="C137" t="str">
        <f t="shared" si="491"/>
        <v>Egyetem</v>
      </c>
      <c r="D137" s="164">
        <f t="shared" si="492"/>
        <v>0</v>
      </c>
      <c r="E137" s="292">
        <f t="shared" si="493"/>
        <v>1.7833098537838387E-2</v>
      </c>
      <c r="F137" s="170">
        <f t="shared" si="494"/>
        <v>1.7914220756660149E-2</v>
      </c>
      <c r="G137" s="170">
        <f t="shared" si="495"/>
        <v>1.7731711405990225E-2</v>
      </c>
      <c r="H137" s="170">
        <f t="shared" si="496"/>
        <v>1.8356303884105293E-2</v>
      </c>
      <c r="I137" s="170">
        <f t="shared" si="497"/>
        <v>1.850705950109497E-2</v>
      </c>
      <c r="J137" s="170">
        <f t="shared" si="498"/>
        <v>1.7334215659312639E-2</v>
      </c>
      <c r="K137" s="170">
        <f t="shared" si="499"/>
        <v>1.7187873947834675E-2</v>
      </c>
      <c r="L137" s="170">
        <f t="shared" si="500"/>
        <v>1.8796310293041886E-2</v>
      </c>
      <c r="M137" s="170" cm="1">
        <f t="array" ref="M137:S137">TREND(E137:L137,$E$66:$L$66,$M$66:$S$66)</f>
        <v>1.8068439424266253E-2</v>
      </c>
      <c r="N137" s="160">
        <v>1.8093070574495468E-2</v>
      </c>
      <c r="O137" s="160">
        <v>1.8117701724724683E-2</v>
      </c>
      <c r="P137" s="160">
        <v>1.8142332874953891E-2</v>
      </c>
      <c r="Q137" s="160">
        <v>1.8166964025183106E-2</v>
      </c>
      <c r="R137" s="160">
        <v>1.8191595175412321E-2</v>
      </c>
      <c r="S137" s="160">
        <v>1.8216226325641537E-2</v>
      </c>
      <c r="AS137" s="66"/>
      <c r="AT137" s="66"/>
    </row>
    <row r="138" spans="2:46" x14ac:dyDescent="0.35">
      <c r="B138" t="str">
        <f t="shared" si="491"/>
        <v>Összesen</v>
      </c>
      <c r="C138" t="str">
        <f t="shared" si="491"/>
        <v>Összesen</v>
      </c>
      <c r="D138" s="165" t="s">
        <v>957</v>
      </c>
      <c r="E138" s="294">
        <f t="shared" ref="E138" si="501">SUM(E131:E137)</f>
        <v>0.13256559438100896</v>
      </c>
      <c r="F138" s="174">
        <f t="shared" ref="F138" si="502">SUM(F131:F137)</f>
        <v>0.13672404411630734</v>
      </c>
      <c r="G138" s="174">
        <f t="shared" ref="G138" si="503">SUM(G131:G137)</f>
        <v>0.12908288571133936</v>
      </c>
      <c r="H138" s="174">
        <f t="shared" ref="H138" si="504">SUM(H131:H137)</f>
        <v>0.12999145708346821</v>
      </c>
      <c r="I138" s="174">
        <f t="shared" ref="I138" si="505">SUM(I131:I137)</f>
        <v>0.12838485103205502</v>
      </c>
      <c r="J138" s="174">
        <f t="shared" ref="J138" si="506">SUM(J131:J137)</f>
        <v>0.1260110353962263</v>
      </c>
      <c r="K138" s="174">
        <f t="shared" ref="K138" si="507">SUM(K131:K137)</f>
        <v>0.12111261657457993</v>
      </c>
      <c r="L138" s="174">
        <f t="shared" ref="L138" si="508">SUM(L131:L137)</f>
        <v>0.11714637927280275</v>
      </c>
      <c r="M138" s="174">
        <f t="shared" ref="M138" si="509">SUM(M131:M137)</f>
        <v>0.11708376149260749</v>
      </c>
      <c r="N138" s="174">
        <f>SUM(N131:N137)</f>
        <v>0.11474074005852591</v>
      </c>
      <c r="O138" s="175">
        <f t="shared" ref="O138:S138" si="510">SUM(O131:O137)</f>
        <v>0.11239771862444455</v>
      </c>
      <c r="P138" s="175">
        <f t="shared" si="510"/>
        <v>0.11005469719036351</v>
      </c>
      <c r="Q138" s="175">
        <f t="shared" si="510"/>
        <v>0.10771167575628193</v>
      </c>
      <c r="R138" s="175">
        <f t="shared" si="510"/>
        <v>0.1053686543222008</v>
      </c>
      <c r="S138" s="176">
        <f t="shared" si="510"/>
        <v>0.10302563288811897</v>
      </c>
      <c r="AS138" s="66"/>
      <c r="AT138" s="66"/>
    </row>
    <row r="139" spans="2:46" x14ac:dyDescent="0.35">
      <c r="B139" t="str">
        <f>B114</f>
        <v>Kontrol (jó-e az összegzés)</v>
      </c>
      <c r="D139" s="166"/>
      <c r="E139" s="54"/>
      <c r="F139" s="54"/>
      <c r="G139" s="54"/>
      <c r="H139" s="54"/>
      <c r="I139" s="54"/>
      <c r="J139" s="54"/>
      <c r="K139" s="54"/>
      <c r="L139" s="54"/>
      <c r="M139" s="69"/>
      <c r="N139" s="65"/>
      <c r="O139" s="66"/>
      <c r="P139" s="66"/>
      <c r="Q139" s="66"/>
      <c r="R139" s="66"/>
      <c r="S139" s="61"/>
      <c r="AS139" s="66"/>
      <c r="AT139" s="66"/>
    </row>
    <row r="140" spans="2:46" x14ac:dyDescent="0.35">
      <c r="D140" s="167"/>
      <c r="E140" s="11"/>
      <c r="F140" s="11"/>
      <c r="G140" s="11"/>
      <c r="H140" s="11"/>
      <c r="I140" s="11"/>
      <c r="J140" s="11"/>
      <c r="K140" s="11"/>
      <c r="L140" s="11"/>
      <c r="M140" s="47"/>
      <c r="N140" s="65"/>
      <c r="O140" s="66"/>
      <c r="P140" s="66"/>
      <c r="Q140" s="66"/>
      <c r="R140" s="66"/>
      <c r="S140" s="47"/>
    </row>
    <row r="141" spans="2:46" x14ac:dyDescent="0.35">
      <c r="D141" s="162">
        <f>D116</f>
        <v>2010</v>
      </c>
      <c r="E141" s="30">
        <f t="shared" ref="E141:S141" si="511">E116</f>
        <v>2011</v>
      </c>
      <c r="F141" s="30">
        <f t="shared" si="511"/>
        <v>2012</v>
      </c>
      <c r="G141" s="30">
        <f t="shared" si="511"/>
        <v>2013</v>
      </c>
      <c r="H141" s="30">
        <f t="shared" si="511"/>
        <v>2014</v>
      </c>
      <c r="I141" s="30">
        <f t="shared" si="511"/>
        <v>2015</v>
      </c>
      <c r="J141" s="30">
        <f t="shared" si="511"/>
        <v>2016</v>
      </c>
      <c r="K141" s="30">
        <f t="shared" si="511"/>
        <v>2017</v>
      </c>
      <c r="L141" s="30">
        <f t="shared" si="511"/>
        <v>2018</v>
      </c>
      <c r="M141" s="56">
        <f t="shared" si="511"/>
        <v>2019</v>
      </c>
      <c r="N141" s="55">
        <f t="shared" si="511"/>
        <v>2020</v>
      </c>
      <c r="O141" s="30">
        <f t="shared" si="511"/>
        <v>2021</v>
      </c>
      <c r="P141" s="30">
        <f t="shared" si="511"/>
        <v>2022</v>
      </c>
      <c r="Q141" s="30">
        <f t="shared" si="511"/>
        <v>2023</v>
      </c>
      <c r="R141" s="30">
        <f t="shared" si="511"/>
        <v>2024</v>
      </c>
      <c r="S141" s="56">
        <f t="shared" si="511"/>
        <v>2025</v>
      </c>
    </row>
    <row r="142" spans="2:46" x14ac:dyDescent="0.35">
      <c r="D142" s="163" t="str">
        <f>G40</f>
        <v>Összesen</v>
      </c>
      <c r="E142" s="71" t="str">
        <f>K40</f>
        <v>Összesen</v>
      </c>
      <c r="F142" s="71" t="str">
        <f>O40</f>
        <v>Összesen</v>
      </c>
      <c r="G142" s="71" t="str">
        <f>S40</f>
        <v>Összesen</v>
      </c>
      <c r="H142" s="71" t="str">
        <f>W40</f>
        <v>Összesen</v>
      </c>
      <c r="I142" s="71" t="str">
        <f>AA40</f>
        <v>Összesen</v>
      </c>
      <c r="J142" s="71" t="str">
        <f>AE40</f>
        <v>Összesen</v>
      </c>
      <c r="K142" s="71" t="str">
        <f>AI40</f>
        <v>Összesen</v>
      </c>
      <c r="L142" s="71" t="str">
        <f>AM40</f>
        <v>Összesen</v>
      </c>
      <c r="M142" s="71" t="str">
        <f>AQ40</f>
        <v>Összesen</v>
      </c>
      <c r="N142" s="75" t="str">
        <f>M142</f>
        <v>Összesen</v>
      </c>
      <c r="O142" s="71" t="str">
        <f>N142</f>
        <v>Összesen</v>
      </c>
      <c r="P142" s="71" t="str">
        <f t="shared" ref="P142:S142" si="512">O142</f>
        <v>Összesen</v>
      </c>
      <c r="Q142" s="71" t="str">
        <f t="shared" si="512"/>
        <v>Összesen</v>
      </c>
      <c r="R142" s="71" t="str">
        <f t="shared" si="512"/>
        <v>Összesen</v>
      </c>
      <c r="S142" s="73" t="str">
        <f t="shared" si="512"/>
        <v>Összesen</v>
      </c>
    </row>
    <row r="143" spans="2:46" x14ac:dyDescent="0.35">
      <c r="B143" t="str">
        <f t="shared" ref="B143:C153" si="513">B118</f>
        <v>0 FEGYVERES SZERVEK FOGLALKOZÁSAI</v>
      </c>
      <c r="C143" t="str">
        <f t="shared" si="513"/>
        <v>Fegyveresek</v>
      </c>
      <c r="D143" s="168" t="str">
        <f>G42</f>
        <v>(1/x10' * 1) * F10 * 1</v>
      </c>
      <c r="E143" s="292">
        <f>K42</f>
        <v>1.8782307516812861E-4</v>
      </c>
      <c r="F143" s="170">
        <f>O42</f>
        <v>1.9559618235376539E-4</v>
      </c>
      <c r="G143" s="170">
        <f>S42</f>
        <v>2.0602116167871761E-4</v>
      </c>
      <c r="H143" s="170">
        <f>W42</f>
        <v>2.1093410553185482E-4</v>
      </c>
      <c r="I143" s="170">
        <f>AA42</f>
        <v>1.6118574056460272E-4</v>
      </c>
      <c r="J143" s="170">
        <f>AE42</f>
        <v>1.5210329488910988E-4</v>
      </c>
      <c r="K143" s="170">
        <f>AI42</f>
        <v>1.7348042804417131E-4</v>
      </c>
      <c r="L143" s="170">
        <f>AM42</f>
        <v>1.1154639374168201E-4</v>
      </c>
      <c r="M143" s="170" cm="1">
        <f t="array" ref="M143:S143">TREND(E143:L143,$E$66:$L$66,$M$66:$S$66)</f>
        <v>1.2897821702137144E-4</v>
      </c>
      <c r="N143" s="160">
        <v>1.1878753241578374E-4</v>
      </c>
      <c r="O143" s="160">
        <v>1.0859684781019951E-4</v>
      </c>
      <c r="P143" s="160">
        <v>9.8406163204615288E-5</v>
      </c>
      <c r="Q143" s="160">
        <v>8.8215478599027591E-5</v>
      </c>
      <c r="R143" s="160">
        <v>7.8024793993443364E-5</v>
      </c>
      <c r="S143" s="160">
        <v>6.7834109387859137E-5</v>
      </c>
    </row>
    <row r="144" spans="2:46" x14ac:dyDescent="0.35">
      <c r="B144" t="str">
        <f t="shared" si="513"/>
        <v>1 GAZDASÁGI, IGAZGATÁSI, ÉRDEK-KÉPVISELETI VEZETŐK, TÖRVÉNYHOZÓK</v>
      </c>
      <c r="C144" t="str">
        <f t="shared" si="513"/>
        <v>Vezetők</v>
      </c>
      <c r="D144" s="168">
        <f t="shared" ref="D144:D152" si="514">G43</f>
        <v>0</v>
      </c>
      <c r="E144" s="292">
        <f t="shared" ref="E144:E152" si="515">K43</f>
        <v>3.3463834627616702E-3</v>
      </c>
      <c r="F144" s="170">
        <f t="shared" ref="F144:F152" si="516">O43</f>
        <v>3.0074568940924007E-3</v>
      </c>
      <c r="G144" s="170">
        <f t="shared" ref="G144:G152" si="517">S43</f>
        <v>2.9630042537061368E-3</v>
      </c>
      <c r="H144" s="170">
        <f t="shared" ref="H144:H152" si="518">W43</f>
        <v>3.0066037053708364E-3</v>
      </c>
      <c r="I144" s="170">
        <f t="shared" ref="I144:I152" si="519">AA43</f>
        <v>2.8292581237905198E-3</v>
      </c>
      <c r="J144" s="170">
        <f t="shared" ref="J144:J152" si="520">AE43</f>
        <v>2.8007282975000092E-3</v>
      </c>
      <c r="K144" s="170">
        <f t="shared" ref="K144:K152" si="521">AI43</f>
        <v>2.6542913432294232E-3</v>
      </c>
      <c r="L144" s="170">
        <f t="shared" ref="L144:L152" si="522">AM43</f>
        <v>2.4280022432798744E-3</v>
      </c>
      <c r="M144" s="170" cm="1">
        <f t="array" ref="M144:S144">TREND(E144:L144,$E$66:$L$66,$M$66:$S$66)</f>
        <v>2.4048944472045974E-3</v>
      </c>
      <c r="N144" s="160">
        <v>2.2994340931464241E-3</v>
      </c>
      <c r="O144" s="160">
        <v>2.1939737390882508E-3</v>
      </c>
      <c r="P144" s="160">
        <v>2.0885133850301052E-3</v>
      </c>
      <c r="Q144" s="160">
        <v>1.9830530309719319E-3</v>
      </c>
      <c r="R144" s="160">
        <v>1.8775926769137585E-3</v>
      </c>
      <c r="S144" s="160">
        <v>1.7721323228555852E-3</v>
      </c>
    </row>
    <row r="145" spans="2:19" x14ac:dyDescent="0.35">
      <c r="B145" t="str">
        <f t="shared" si="513"/>
        <v>2 FELSŐFOKÚ KÉPZETTSÉG ÖNÁLLÓ ALKALMAZÁSÁT IGÉNYLŐ FOGLALKOZÁSOK</v>
      </c>
      <c r="C145" t="str">
        <f t="shared" si="513"/>
        <v>Felsőfokúak</v>
      </c>
      <c r="D145" s="168">
        <f t="shared" si="514"/>
        <v>0</v>
      </c>
      <c r="E145" s="292">
        <f t="shared" si="515"/>
        <v>9.2964699604833993E-3</v>
      </c>
      <c r="F145" s="170">
        <f t="shared" si="516"/>
        <v>9.8646552462392807E-3</v>
      </c>
      <c r="G145" s="170">
        <f t="shared" si="517"/>
        <v>1.0141049827193271E-2</v>
      </c>
      <c r="H145" s="170">
        <f t="shared" si="518"/>
        <v>9.6898175584081807E-3</v>
      </c>
      <c r="I145" s="170">
        <f t="shared" si="519"/>
        <v>9.5004737977362527E-3</v>
      </c>
      <c r="J145" s="170">
        <f t="shared" si="520"/>
        <v>9.1480524175938799E-3</v>
      </c>
      <c r="K145" s="170">
        <f t="shared" si="521"/>
        <v>8.5434143136597987E-3</v>
      </c>
      <c r="L145" s="170">
        <f t="shared" si="522"/>
        <v>8.4684200963072859E-3</v>
      </c>
      <c r="M145" s="170" cm="1">
        <f t="array" ref="M145:S145">TREND(E145:L145,$E$66:$L$66,$M$66:$S$66)</f>
        <v>8.4973893467598094E-3</v>
      </c>
      <c r="N145" s="160">
        <v>8.3120216122169466E-3</v>
      </c>
      <c r="O145" s="160">
        <v>8.1266538776740838E-3</v>
      </c>
      <c r="P145" s="160">
        <v>7.9412861431312209E-3</v>
      </c>
      <c r="Q145" s="160">
        <v>7.7559184085883581E-3</v>
      </c>
      <c r="R145" s="160">
        <v>7.5705506740454953E-3</v>
      </c>
      <c r="S145" s="160">
        <v>7.3851829395026325E-3</v>
      </c>
    </row>
    <row r="146" spans="2:19" x14ac:dyDescent="0.35">
      <c r="B146" t="str">
        <f t="shared" si="513"/>
        <v>3 EGYÉB FELSŐFOKÚ VAGY KÖZÉPFOKÚ KÉPZETTSÉGET IGÉNYLŐ FOGLALKOZÁSOK</v>
      </c>
      <c r="C146" t="str">
        <f t="shared" si="513"/>
        <v>Egyéb felső</v>
      </c>
      <c r="D146" s="168">
        <f t="shared" si="514"/>
        <v>0</v>
      </c>
      <c r="E146" s="292">
        <f t="shared" si="515"/>
        <v>8.7113306418310325E-3</v>
      </c>
      <c r="F146" s="170">
        <f t="shared" si="516"/>
        <v>9.2680350183677093E-3</v>
      </c>
      <c r="G146" s="170">
        <f t="shared" si="517"/>
        <v>9.9640783621872449E-3</v>
      </c>
      <c r="H146" s="170">
        <f t="shared" si="518"/>
        <v>9.8579155825231513E-3</v>
      </c>
      <c r="I146" s="170">
        <f t="shared" si="519"/>
        <v>9.46640002893466E-3</v>
      </c>
      <c r="J146" s="170">
        <f t="shared" si="520"/>
        <v>9.6325011325220939E-3</v>
      </c>
      <c r="K146" s="170">
        <f t="shared" si="521"/>
        <v>9.362337208116054E-3</v>
      </c>
      <c r="L146" s="170">
        <f t="shared" si="522"/>
        <v>8.6825431482690524E-3</v>
      </c>
      <c r="M146" s="170" cm="1">
        <f t="array" ref="M146:S146">TREND(E146:L146,$E$66:$L$66,$M$66:$S$66)</f>
        <v>9.3083436002308652E-3</v>
      </c>
      <c r="N146" s="160">
        <v>9.2950549246501972E-3</v>
      </c>
      <c r="O146" s="160">
        <v>9.2817662490695292E-3</v>
      </c>
      <c r="P146" s="160">
        <v>9.2684775734888612E-3</v>
      </c>
      <c r="Q146" s="160">
        <v>9.2551888979081967E-3</v>
      </c>
      <c r="R146" s="160">
        <v>9.2419002223275287E-3</v>
      </c>
      <c r="S146" s="160">
        <v>9.2286115467468607E-3</v>
      </c>
    </row>
    <row r="147" spans="2:19" x14ac:dyDescent="0.35">
      <c r="B147" t="str">
        <f t="shared" si="513"/>
        <v>4 IRODAI ÉS ÜGYVITELI (ÜGYFÉLKAPCSOLATI) FOGLALKOZÁSOK</v>
      </c>
      <c r="C147" t="str">
        <f t="shared" si="513"/>
        <v>Iroda-ügyvitel</v>
      </c>
      <c r="D147" s="168">
        <f t="shared" si="514"/>
        <v>0</v>
      </c>
      <c r="E147" s="292">
        <f t="shared" si="515"/>
        <v>4.1886464712425873E-3</v>
      </c>
      <c r="F147" s="170">
        <f t="shared" si="516"/>
        <v>4.25335110794122E-3</v>
      </c>
      <c r="G147" s="170">
        <f t="shared" si="517"/>
        <v>4.1313918028144042E-3</v>
      </c>
      <c r="H147" s="170">
        <f t="shared" si="518"/>
        <v>4.1607167540775548E-3</v>
      </c>
      <c r="I147" s="170">
        <f t="shared" si="519"/>
        <v>4.0540168215328258E-3</v>
      </c>
      <c r="J147" s="170">
        <f t="shared" si="520"/>
        <v>4.030541809040989E-3</v>
      </c>
      <c r="K147" s="170">
        <f t="shared" si="521"/>
        <v>3.7592207326498017E-3</v>
      </c>
      <c r="L147" s="170">
        <f t="shared" si="522"/>
        <v>3.8353475605939617E-3</v>
      </c>
      <c r="M147" s="170" cm="1">
        <f t="array" ref="M147:S147">TREND(E147:L147,$E$66:$L$66,$M$66:$S$66)</f>
        <v>3.7648865879404692E-3</v>
      </c>
      <c r="N147" s="160">
        <v>3.7011604669301978E-3</v>
      </c>
      <c r="O147" s="160">
        <v>3.6374343459199265E-3</v>
      </c>
      <c r="P147" s="160">
        <v>3.5737082249096552E-3</v>
      </c>
      <c r="Q147" s="160">
        <v>3.5099821038993839E-3</v>
      </c>
      <c r="R147" s="160">
        <v>3.4462559828891126E-3</v>
      </c>
      <c r="S147" s="160">
        <v>3.3825298618788691E-3</v>
      </c>
    </row>
    <row r="148" spans="2:19" x14ac:dyDescent="0.35">
      <c r="B148" t="str">
        <f t="shared" si="513"/>
        <v>5 KERESKEDELMI ÉS SZOLGÁLTATÁSI FOGLALKOZÁSOK</v>
      </c>
      <c r="C148" t="str">
        <f t="shared" si="513"/>
        <v>Ker-szolg</v>
      </c>
      <c r="D148" s="168">
        <f t="shared" si="514"/>
        <v>0</v>
      </c>
      <c r="E148" s="292">
        <f t="shared" si="515"/>
        <v>8.6906590266970715E-3</v>
      </c>
      <c r="F148" s="170">
        <f t="shared" si="516"/>
        <v>9.2088693677773031E-3</v>
      </c>
      <c r="G148" s="170">
        <f t="shared" si="517"/>
        <v>9.3379302153330929E-3</v>
      </c>
      <c r="H148" s="170">
        <f t="shared" si="518"/>
        <v>8.9080175500883263E-3</v>
      </c>
      <c r="I148" s="170">
        <f t="shared" si="519"/>
        <v>8.6486008355886115E-3</v>
      </c>
      <c r="J148" s="170">
        <f t="shared" si="520"/>
        <v>8.5867141744192989E-3</v>
      </c>
      <c r="K148" s="170">
        <f t="shared" si="521"/>
        <v>8.220482529983553E-3</v>
      </c>
      <c r="L148" s="170">
        <f t="shared" si="522"/>
        <v>7.7142694777493923E-3</v>
      </c>
      <c r="M148" s="170" cm="1">
        <f t="array" ref="M148:S148">TREND(E148:L148,$E$66:$L$66,$M$66:$S$66)</f>
        <v>7.8989218685164841E-3</v>
      </c>
      <c r="N148" s="160">
        <v>7.7288060843636042E-3</v>
      </c>
      <c r="O148" s="160">
        <v>7.5586903002107242E-3</v>
      </c>
      <c r="P148" s="160">
        <v>7.3885745160577887E-3</v>
      </c>
      <c r="Q148" s="160">
        <v>7.2184587319049087E-3</v>
      </c>
      <c r="R148" s="160">
        <v>7.0483429477520287E-3</v>
      </c>
      <c r="S148" s="160">
        <v>6.8782271635990933E-3</v>
      </c>
    </row>
    <row r="149" spans="2:19" x14ac:dyDescent="0.35">
      <c r="B149" t="str">
        <f t="shared" si="513"/>
        <v>6 MEZŐGAZDASÁGI ÉS ERDŐGAZDÁLKODÁSI FOGLALKOZÁSOK</v>
      </c>
      <c r="C149" t="str">
        <f t="shared" si="513"/>
        <v>Mező-erdő</v>
      </c>
      <c r="D149" s="168">
        <f t="shared" si="514"/>
        <v>0</v>
      </c>
      <c r="E149" s="292">
        <f t="shared" si="515"/>
        <v>1.5855362826033511E-3</v>
      </c>
      <c r="F149" s="170">
        <f t="shared" si="516"/>
        <v>1.7213740888795028E-3</v>
      </c>
      <c r="G149" s="170">
        <f t="shared" si="517"/>
        <v>1.4761231534591288E-3</v>
      </c>
      <c r="H149" s="170">
        <f t="shared" si="518"/>
        <v>1.3996693377736154E-3</v>
      </c>
      <c r="I149" s="170">
        <f t="shared" si="519"/>
        <v>1.4569949287982955E-3</v>
      </c>
      <c r="J149" s="170">
        <f t="shared" si="520"/>
        <v>1.6537393032182389E-3</v>
      </c>
      <c r="K149" s="170">
        <f t="shared" si="521"/>
        <v>1.5538098324921167E-3</v>
      </c>
      <c r="L149" s="170">
        <f t="shared" si="522"/>
        <v>1.543363623968485E-3</v>
      </c>
      <c r="M149" s="170" cm="1">
        <f t="array" ref="M149:S149">TREND(E149:L149,$E$66:$L$66,$M$66:$S$66)</f>
        <v>1.5197447553948612E-3</v>
      </c>
      <c r="N149" s="160">
        <v>1.5132821857272542E-3</v>
      </c>
      <c r="O149" s="160">
        <v>1.5068196160596473E-3</v>
      </c>
      <c r="P149" s="160">
        <v>1.500357046392042E-3</v>
      </c>
      <c r="Q149" s="160">
        <v>1.4938944767244351E-3</v>
      </c>
      <c r="R149" s="160">
        <v>1.4874319070568281E-3</v>
      </c>
      <c r="S149" s="160">
        <v>1.4809693373892211E-3</v>
      </c>
    </row>
    <row r="150" spans="2:19" x14ac:dyDescent="0.35">
      <c r="B150" t="str">
        <f t="shared" si="513"/>
        <v>7 IPARI ÉS ÉPÍTŐIPARI FOGLALKOZÁSOK</v>
      </c>
      <c r="C150" t="str">
        <f t="shared" si="513"/>
        <v>ipar-épip.</v>
      </c>
      <c r="D150" s="168">
        <f t="shared" si="514"/>
        <v>0</v>
      </c>
      <c r="E150" s="292">
        <f t="shared" si="515"/>
        <v>8.2958701806858173E-3</v>
      </c>
      <c r="F150" s="170">
        <f t="shared" si="516"/>
        <v>8.1345028709220307E-3</v>
      </c>
      <c r="G150" s="170">
        <f t="shared" si="517"/>
        <v>8.2282253217454537E-3</v>
      </c>
      <c r="H150" s="170">
        <f t="shared" si="518"/>
        <v>8.0891946049922274E-3</v>
      </c>
      <c r="I150" s="170">
        <f t="shared" si="519"/>
        <v>7.9086496412295853E-3</v>
      </c>
      <c r="J150" s="170">
        <f t="shared" si="520"/>
        <v>7.5960318437157332E-3</v>
      </c>
      <c r="K150" s="170">
        <f t="shared" si="521"/>
        <v>7.5564984627890779E-3</v>
      </c>
      <c r="L150" s="170">
        <f t="shared" si="522"/>
        <v>7.3813128951877079E-3</v>
      </c>
      <c r="M150" s="170" cm="1">
        <f t="array" ref="M150:S150">TREND(E150:L150,$E$66:$L$66,$M$66:$S$66)</f>
        <v>7.2897295613904012E-3</v>
      </c>
      <c r="N150" s="160">
        <v>7.1543837466641613E-3</v>
      </c>
      <c r="O150" s="160">
        <v>7.0190379319379215E-3</v>
      </c>
      <c r="P150" s="160">
        <v>6.8836921172116816E-3</v>
      </c>
      <c r="Q150" s="160">
        <v>6.7483463024854973E-3</v>
      </c>
      <c r="R150" s="160">
        <v>6.6130004877592574E-3</v>
      </c>
      <c r="S150" s="160">
        <v>6.4776546730330176E-3</v>
      </c>
    </row>
    <row r="151" spans="2:19" x14ac:dyDescent="0.35">
      <c r="B151" t="str">
        <f t="shared" si="513"/>
        <v>8 GÉPKEZELŐK, ÖSSZESZERELŐK, JÁRMŰVEZETŐK</v>
      </c>
      <c r="C151" t="str">
        <f t="shared" si="513"/>
        <v>Összeszerelők</v>
      </c>
      <c r="D151" s="168">
        <f t="shared" si="514"/>
        <v>0</v>
      </c>
      <c r="E151" s="292">
        <f t="shared" si="515"/>
        <v>7.7876916752076661E-3</v>
      </c>
      <c r="F151" s="170">
        <f t="shared" si="516"/>
        <v>7.9513239737474765E-3</v>
      </c>
      <c r="G151" s="170">
        <f t="shared" si="517"/>
        <v>8.2375413148223081E-3</v>
      </c>
      <c r="H151" s="170">
        <f t="shared" si="518"/>
        <v>8.0315010318184835E-3</v>
      </c>
      <c r="I151" s="170">
        <f t="shared" si="519"/>
        <v>7.6465216180574783E-3</v>
      </c>
      <c r="J151" s="170">
        <f t="shared" si="520"/>
        <v>8.1352639984024842E-3</v>
      </c>
      <c r="K151" s="170">
        <f t="shared" si="521"/>
        <v>8.0362245497457852E-3</v>
      </c>
      <c r="L151" s="170">
        <f t="shared" si="522"/>
        <v>7.932772235055497E-3</v>
      </c>
      <c r="M151" s="170" cm="1">
        <f t="array" ref="M151:S151">TREND(E151:L151,$E$66:$L$66,$M$66:$S$66)</f>
        <v>8.0099401622449606E-3</v>
      </c>
      <c r="N151" s="160">
        <v>8.0188479650533627E-3</v>
      </c>
      <c r="O151" s="160">
        <v>8.0277557678617682E-3</v>
      </c>
      <c r="P151" s="160">
        <v>8.0366635706701703E-3</v>
      </c>
      <c r="Q151" s="160">
        <v>8.0455713734785758E-3</v>
      </c>
      <c r="R151" s="160">
        <v>8.0544791762869779E-3</v>
      </c>
      <c r="S151" s="160">
        <v>8.0633869790953799E-3</v>
      </c>
    </row>
    <row r="152" spans="2:19" x14ac:dyDescent="0.35">
      <c r="B152" t="str">
        <f t="shared" si="513"/>
        <v>9 SZAKKÉPZETTSÉGET NEM IGÉNYLŐ (EGYSZERŰ) FOGLALKOZÁSOK</v>
      </c>
      <c r="C152" t="str">
        <f t="shared" si="513"/>
        <v>szakképzetlen</v>
      </c>
      <c r="D152" s="168">
        <f t="shared" si="514"/>
        <v>0</v>
      </c>
      <c r="E152" s="292">
        <f t="shared" si="515"/>
        <v>4.7379185874851567E-3</v>
      </c>
      <c r="F152" s="170">
        <f t="shared" si="516"/>
        <v>4.7075715692717632E-3</v>
      </c>
      <c r="G152" s="170">
        <f t="shared" si="517"/>
        <v>4.670763499373556E-3</v>
      </c>
      <c r="H152" s="170">
        <f t="shared" si="518"/>
        <v>4.4142302567174857E-3</v>
      </c>
      <c r="I152" s="170">
        <f t="shared" si="519"/>
        <v>4.1985896237867392E-3</v>
      </c>
      <c r="J152" s="170">
        <f t="shared" si="520"/>
        <v>4.3232694318343715E-3</v>
      </c>
      <c r="K152" s="170">
        <f t="shared" si="521"/>
        <v>4.3272990606660977E-3</v>
      </c>
      <c r="L152" s="170">
        <f t="shared" si="522"/>
        <v>4.0669152016391107E-3</v>
      </c>
      <c r="M152" s="170" cm="1">
        <f t="array" ref="M152:S152">TREND(E152:L152,$E$66:$L$66,$M$66:$S$66)</f>
        <v>4.0099352388736076E-3</v>
      </c>
      <c r="N152" s="160">
        <v>3.9164053688795775E-3</v>
      </c>
      <c r="O152" s="160">
        <v>3.8228754988855473E-3</v>
      </c>
      <c r="P152" s="160">
        <v>3.7293456288915172E-3</v>
      </c>
      <c r="Q152" s="160">
        <v>3.6358157588974593E-3</v>
      </c>
      <c r="R152" s="160">
        <v>3.5422858889034292E-3</v>
      </c>
      <c r="S152" s="160">
        <v>3.4487560189093991E-3</v>
      </c>
    </row>
    <row r="153" spans="2:19" x14ac:dyDescent="0.35">
      <c r="B153" t="str">
        <f t="shared" si="513"/>
        <v>Összesen</v>
      </c>
      <c r="C153" t="str">
        <f t="shared" si="513"/>
        <v>összesen</v>
      </c>
      <c r="D153" s="165" t="s">
        <v>978</v>
      </c>
      <c r="E153" s="294">
        <f t="shared" ref="E153" si="523">SUM(E146:E152)</f>
        <v>4.3997652865752683E-2</v>
      </c>
      <c r="F153" s="174">
        <f t="shared" ref="F153" si="524">SUM(F146:F152)</f>
        <v>4.5245027996907002E-2</v>
      </c>
      <c r="G153" s="174">
        <f t="shared" ref="G153" si="525">SUM(G146:G152)</f>
        <v>4.6046053669735194E-2</v>
      </c>
      <c r="H153" s="174">
        <f t="shared" ref="H153" si="526">SUM(H146:H152)</f>
        <v>4.486124511799084E-2</v>
      </c>
      <c r="I153" s="174">
        <f t="shared" ref="I153" si="527">SUM(I146:I152)</f>
        <v>4.3379773497928195E-2</v>
      </c>
      <c r="J153" s="174">
        <f t="shared" ref="J153" si="528">SUM(J146:J152)</f>
        <v>4.3958061693153208E-2</v>
      </c>
      <c r="K153" s="174">
        <f t="shared" ref="K153" si="529">SUM(K146:K152)</f>
        <v>4.2815872376442486E-2</v>
      </c>
      <c r="L153" s="174">
        <f t="shared" ref="L153" si="530">SUM(L146:L152)</f>
        <v>4.1156524142463208E-2</v>
      </c>
      <c r="M153" s="174">
        <f t="shared" ref="M153" si="531">SUM(M146:M152)</f>
        <v>4.1801501774591646E-2</v>
      </c>
      <c r="N153" s="174">
        <f>SUM(N146:N152)</f>
        <v>4.1327940742268351E-2</v>
      </c>
      <c r="O153" s="175">
        <f t="shared" ref="O153:S153" si="532">SUM(O146:O152)</f>
        <v>4.0854379709945064E-2</v>
      </c>
      <c r="P153" s="175">
        <f t="shared" si="532"/>
        <v>4.0380818677621715E-2</v>
      </c>
      <c r="Q153" s="175">
        <f t="shared" si="532"/>
        <v>3.9907257645298455E-2</v>
      </c>
      <c r="R153" s="175">
        <f t="shared" si="532"/>
        <v>3.9433696612975161E-2</v>
      </c>
      <c r="S153" s="176">
        <f t="shared" si="532"/>
        <v>3.8960135580651839E-2</v>
      </c>
    </row>
    <row r="154" spans="2:19" x14ac:dyDescent="0.35">
      <c r="B154" t="str">
        <f>B129</f>
        <v>Kontrol (jó-e az összegzés)</v>
      </c>
      <c r="D154" s="166"/>
      <c r="E154" s="174"/>
      <c r="F154" s="174"/>
      <c r="G154" s="174"/>
      <c r="H154" s="174"/>
      <c r="I154" s="174"/>
      <c r="J154" s="174"/>
      <c r="K154" s="174"/>
      <c r="L154" s="174"/>
      <c r="M154" s="174"/>
      <c r="N154" s="174"/>
      <c r="O154" s="174"/>
      <c r="P154" s="174"/>
      <c r="Q154" s="174"/>
      <c r="R154" s="174"/>
      <c r="S154" s="177"/>
    </row>
    <row r="155" spans="2:19" x14ac:dyDescent="0.35">
      <c r="D155" s="166"/>
      <c r="E155" s="174"/>
      <c r="F155" s="174"/>
      <c r="G155" s="174"/>
      <c r="H155" s="174"/>
      <c r="I155" s="174"/>
      <c r="J155" s="174"/>
      <c r="K155" s="174"/>
      <c r="L155" s="174"/>
      <c r="M155" s="174"/>
      <c r="N155" s="174"/>
      <c r="O155" s="174"/>
      <c r="P155" s="174"/>
      <c r="Q155" s="174"/>
      <c r="R155" s="174"/>
      <c r="S155" s="177"/>
    </row>
    <row r="156" spans="2:19" x14ac:dyDescent="0.35">
      <c r="B156" t="str">
        <f t="shared" ref="B156:C164" si="533">B131</f>
        <v>I1 Általános Iskola 0-7 osztály</v>
      </c>
      <c r="C156" t="str">
        <f t="shared" si="533"/>
        <v>0-7 osztály</v>
      </c>
      <c r="D156" s="168" t="str">
        <f>G54</f>
        <v>(1/x10' * 1) * E10 * 1</v>
      </c>
      <c r="E156" s="292">
        <f>K54</f>
        <v>1.1903730073368397E-4</v>
      </c>
      <c r="F156" s="170">
        <f>O54</f>
        <v>1.1319201348452911E-4</v>
      </c>
      <c r="G156" s="170">
        <f>S54</f>
        <v>1.2203140844322908E-4</v>
      </c>
      <c r="H156" s="170">
        <f>W54</f>
        <v>1.1594581219607107E-4</v>
      </c>
      <c r="I156" s="170">
        <f>AA54</f>
        <v>1.1325827580150088E-4</v>
      </c>
      <c r="J156" s="170">
        <f>AE54</f>
        <v>1.1054440711918784E-4</v>
      </c>
      <c r="K156" s="170">
        <f>AI54</f>
        <v>1.2144814309486893E-4</v>
      </c>
      <c r="L156" s="170">
        <f>AM54</f>
        <v>1.1455280164754144E-4</v>
      </c>
      <c r="M156" s="170" cm="1">
        <f t="array" ref="M156:S156">TREND(E156:L156,$E$66:$L$66,$M$66:$S$66)</f>
        <v>1.1479094606946987E-4</v>
      </c>
      <c r="N156" s="160">
        <v>1.1446642957044608E-4</v>
      </c>
      <c r="O156" s="160">
        <v>1.141419130714224E-4</v>
      </c>
      <c r="P156" s="160">
        <v>1.1381739657239862E-4</v>
      </c>
      <c r="Q156" s="160">
        <v>1.1349288007337494E-4</v>
      </c>
      <c r="R156" s="160">
        <v>1.1316836357435126E-4</v>
      </c>
      <c r="S156" s="160">
        <v>1.1284384707532747E-4</v>
      </c>
    </row>
    <row r="157" spans="2:19" x14ac:dyDescent="0.35">
      <c r="B157" t="str">
        <f t="shared" si="533"/>
        <v>I2 Általános Iskola 8 osztály</v>
      </c>
      <c r="C157" t="str">
        <f t="shared" si="533"/>
        <v>8 osztály</v>
      </c>
      <c r="D157" s="168">
        <f t="shared" ref="D157:D162" si="534">G55</f>
        <v>0</v>
      </c>
      <c r="E157" s="292">
        <f t="shared" ref="E157:E162" si="535">K55</f>
        <v>5.9771546126329931E-3</v>
      </c>
      <c r="F157" s="170">
        <f t="shared" ref="F157:F162" si="536">O55</f>
        <v>5.7059979081801396E-3</v>
      </c>
      <c r="G157" s="170">
        <f t="shared" ref="G157:G162" si="537">S55</f>
        <v>5.4381096978186197E-3</v>
      </c>
      <c r="H157" s="170">
        <f t="shared" ref="H157:H162" si="538">W55</f>
        <v>5.3989618597651964E-3</v>
      </c>
      <c r="I157" s="170">
        <f t="shared" ref="I157:I162" si="539">AA55</f>
        <v>5.2608835571671666E-3</v>
      </c>
      <c r="J157" s="170">
        <f t="shared" ref="J157:J162" si="540">AE55</f>
        <v>5.4016220237676311E-3</v>
      </c>
      <c r="K157" s="170">
        <f t="shared" ref="K157:K162" si="541">AI55</f>
        <v>5.2630906254902739E-3</v>
      </c>
      <c r="L157" s="170">
        <f t="shared" ref="L157:L162" si="542">AM55</f>
        <v>5.0572358634684064E-3</v>
      </c>
      <c r="M157" s="170" cm="1">
        <f t="array" ref="M157:S157">TREND(E157:L157,$E$66:$L$66,$M$66:$S$66)</f>
        <v>4.9610154659102956E-3</v>
      </c>
      <c r="N157" s="160">
        <v>4.8550451208822787E-3</v>
      </c>
      <c r="O157" s="160">
        <v>4.7490747758542617E-3</v>
      </c>
      <c r="P157" s="160">
        <v>4.6431044308262726E-3</v>
      </c>
      <c r="Q157" s="160">
        <v>4.5371340857982556E-3</v>
      </c>
      <c r="R157" s="160">
        <v>4.4311637407702664E-3</v>
      </c>
      <c r="S157" s="160">
        <v>4.3251933957422495E-3</v>
      </c>
    </row>
    <row r="158" spans="2:19" x14ac:dyDescent="0.35">
      <c r="B158" t="str">
        <f t="shared" si="533"/>
        <v>I3-I5 Szakiskola, Szakmunkásképző iskola, Szakközépiskola</v>
      </c>
      <c r="C158" t="str">
        <f t="shared" si="533"/>
        <v>szakiskola</v>
      </c>
      <c r="D158" s="168">
        <f t="shared" si="534"/>
        <v>0</v>
      </c>
      <c r="E158" s="292">
        <f t="shared" si="535"/>
        <v>1.6472203821630942E-2</v>
      </c>
      <c r="F158" s="170">
        <f t="shared" si="536"/>
        <v>1.6589684525675302E-2</v>
      </c>
      <c r="G158" s="170">
        <f t="shared" si="537"/>
        <v>1.6915607589226583E-2</v>
      </c>
      <c r="H158" s="170">
        <f t="shared" si="538"/>
        <v>1.59490493296034E-2</v>
      </c>
      <c r="I158" s="170">
        <f t="shared" si="539"/>
        <v>1.4949388224156923E-2</v>
      </c>
      <c r="J158" s="170">
        <f t="shared" si="540"/>
        <v>1.4938800250403473E-2</v>
      </c>
      <c r="K158" s="170">
        <f t="shared" si="541"/>
        <v>1.4882299407255896E-2</v>
      </c>
      <c r="L158" s="170">
        <f t="shared" si="542"/>
        <v>1.4481000839095256E-2</v>
      </c>
      <c r="M158" s="170" cm="1">
        <f t="array" ref="M158:S158">TREND(E158:L158,$E$66:$L$66,$M$66:$S$66)</f>
        <v>1.4071963377393693E-2</v>
      </c>
      <c r="N158" s="160">
        <v>1.3721898739396554E-2</v>
      </c>
      <c r="O158" s="160">
        <v>1.3371834101399416E-2</v>
      </c>
      <c r="P158" s="160">
        <v>1.3021769463402166E-2</v>
      </c>
      <c r="Q158" s="160">
        <v>1.2671704825405028E-2</v>
      </c>
      <c r="R158" s="160">
        <v>1.232164018740789E-2</v>
      </c>
      <c r="S158" s="160">
        <v>1.197157554941064E-2</v>
      </c>
    </row>
    <row r="159" spans="2:19" x14ac:dyDescent="0.35">
      <c r="B159" t="str">
        <f t="shared" si="533"/>
        <v>I6 Gimnázium</v>
      </c>
      <c r="C159" t="str">
        <f t="shared" si="533"/>
        <v>Gimnázium</v>
      </c>
      <c r="D159" s="168">
        <f t="shared" si="534"/>
        <v>0</v>
      </c>
      <c r="E159" s="292">
        <f t="shared" si="535"/>
        <v>5.1566241021759321E-3</v>
      </c>
      <c r="F159" s="170">
        <f t="shared" si="536"/>
        <v>5.4049824859694487E-3</v>
      </c>
      <c r="G159" s="170">
        <f t="shared" si="537"/>
        <v>5.8153831148405298E-3</v>
      </c>
      <c r="H159" s="170">
        <f t="shared" si="538"/>
        <v>5.9505462412386525E-3</v>
      </c>
      <c r="I159" s="170">
        <f t="shared" si="539"/>
        <v>6.4091307639353333E-3</v>
      </c>
      <c r="J159" s="170">
        <f t="shared" si="540"/>
        <v>7.1293322371059221E-3</v>
      </c>
      <c r="K159" s="170">
        <f t="shared" si="541"/>
        <v>6.6561188551724319E-3</v>
      </c>
      <c r="L159" s="170">
        <f t="shared" si="542"/>
        <v>6.3247027948415604E-3</v>
      </c>
      <c r="M159" s="170" cm="1">
        <f t="array" ref="M159:S159">TREND(E159:L159,$E$66:$L$66,$M$66:$S$66)</f>
        <v>7.1147453199904009E-3</v>
      </c>
      <c r="N159" s="160">
        <v>7.338943707897172E-3</v>
      </c>
      <c r="O159" s="160">
        <v>7.5631420958038875E-3</v>
      </c>
      <c r="P159" s="160">
        <v>7.7873404837106586E-3</v>
      </c>
      <c r="Q159" s="160">
        <v>8.0115388716174296E-3</v>
      </c>
      <c r="R159" s="160">
        <v>8.2357372595241451E-3</v>
      </c>
      <c r="S159" s="160">
        <v>8.4599356474309162E-3</v>
      </c>
    </row>
    <row r="160" spans="2:19" x14ac:dyDescent="0.35">
      <c r="B160" t="str">
        <f t="shared" si="533"/>
        <v>I7 Technikum</v>
      </c>
      <c r="C160" t="str">
        <f t="shared" si="533"/>
        <v>Technikum</v>
      </c>
      <c r="D160" s="168">
        <f t="shared" si="534"/>
        <v>0</v>
      </c>
      <c r="E160" s="292">
        <f t="shared" si="535"/>
        <v>1.4222664058486788E-2</v>
      </c>
      <c r="F160" s="170">
        <f t="shared" si="536"/>
        <v>1.4719143409437313E-2</v>
      </c>
      <c r="G160" s="170">
        <f t="shared" si="537"/>
        <v>1.4664426215227469E-2</v>
      </c>
      <c r="H160" s="170">
        <f t="shared" si="538"/>
        <v>1.4161620595683502E-2</v>
      </c>
      <c r="I160" s="170">
        <f t="shared" si="539"/>
        <v>1.3129236763255602E-2</v>
      </c>
      <c r="J160" s="170">
        <f t="shared" si="540"/>
        <v>1.2869597751606286E-2</v>
      </c>
      <c r="K160" s="170">
        <f t="shared" si="541"/>
        <v>1.2445559337365335E-2</v>
      </c>
      <c r="L160" s="170">
        <f t="shared" si="542"/>
        <v>1.1543950639903504E-2</v>
      </c>
      <c r="M160" s="170" cm="1">
        <f t="array" ref="M160:S160">TREND(E160:L160,$E$66:$L$66,$M$66:$S$66)</f>
        <v>1.1512250729563633E-2</v>
      </c>
      <c r="N160" s="160">
        <v>1.1077300925828704E-2</v>
      </c>
      <c r="O160" s="160">
        <v>1.0642351122093774E-2</v>
      </c>
      <c r="P160" s="160">
        <v>1.0207401318358844E-2</v>
      </c>
      <c r="Q160" s="160">
        <v>9.7724515146239144E-3</v>
      </c>
      <c r="R160" s="160">
        <v>9.3375017108889846E-3</v>
      </c>
      <c r="S160" s="160">
        <v>8.9025519071540549E-3</v>
      </c>
    </row>
    <row r="161" spans="1:67" x14ac:dyDescent="0.35">
      <c r="B161" t="str">
        <f t="shared" si="533"/>
        <v>I8 Főiskola</v>
      </c>
      <c r="C161" t="str">
        <f t="shared" si="533"/>
        <v>Főiskola</v>
      </c>
      <c r="D161" s="168">
        <f t="shared" si="534"/>
        <v>0</v>
      </c>
      <c r="E161" s="292">
        <f t="shared" si="535"/>
        <v>8.8571396343155688E-3</v>
      </c>
      <c r="F161" s="170">
        <f t="shared" si="536"/>
        <v>9.5171468269501288E-3</v>
      </c>
      <c r="G161" s="170">
        <f t="shared" si="537"/>
        <v>9.7800753476240815E-3</v>
      </c>
      <c r="H161" s="170">
        <f t="shared" si="538"/>
        <v>9.5477956402526595E-3</v>
      </c>
      <c r="I161" s="170">
        <f t="shared" si="539"/>
        <v>9.3333815540179374E-3</v>
      </c>
      <c r="J161" s="170">
        <f t="shared" si="540"/>
        <v>9.3245520084957768E-3</v>
      </c>
      <c r="K161" s="170">
        <f t="shared" si="541"/>
        <v>8.7037353373161843E-3</v>
      </c>
      <c r="L161" s="170">
        <f t="shared" si="542"/>
        <v>7.98980738092386E-3</v>
      </c>
      <c r="M161" s="170" cm="1">
        <f t="array" ref="M161:S161">TREND(E161:L161,$E$66:$L$66,$M$66:$S$66)</f>
        <v>8.5038809666549975E-3</v>
      </c>
      <c r="N161" s="160">
        <v>8.3643646889701162E-3</v>
      </c>
      <c r="O161" s="160">
        <v>8.2248484112852349E-3</v>
      </c>
      <c r="P161" s="160">
        <v>8.0853321336002981E-3</v>
      </c>
      <c r="Q161" s="160">
        <v>7.9458158559154168E-3</v>
      </c>
      <c r="R161" s="160">
        <v>7.8062995782305356E-3</v>
      </c>
      <c r="S161" s="160">
        <v>7.6667833005455988E-3</v>
      </c>
    </row>
    <row r="162" spans="1:67" x14ac:dyDescent="0.35">
      <c r="B162" t="str">
        <f t="shared" si="533"/>
        <v>I9 Egyetem</v>
      </c>
      <c r="C162" t="str">
        <f t="shared" si="533"/>
        <v>Egyetem</v>
      </c>
      <c r="D162" s="168">
        <f t="shared" si="534"/>
        <v>0</v>
      </c>
      <c r="E162" s="292">
        <f t="shared" si="535"/>
        <v>6.0235058341899751E-3</v>
      </c>
      <c r="F162" s="170">
        <f t="shared" si="536"/>
        <v>6.2625891498955914E-3</v>
      </c>
      <c r="G162" s="170">
        <f t="shared" si="537"/>
        <v>6.6204955391328006E-3</v>
      </c>
      <c r="H162" s="170">
        <f t="shared" si="538"/>
        <v>6.6446810085622338E-3</v>
      </c>
      <c r="I162" s="170">
        <f t="shared" si="539"/>
        <v>6.6754120216851124E-3</v>
      </c>
      <c r="J162" s="170">
        <f t="shared" si="540"/>
        <v>6.2844970246379306E-3</v>
      </c>
      <c r="K162" s="170">
        <f t="shared" si="541"/>
        <v>6.1148067556808907E-3</v>
      </c>
      <c r="L162" s="170">
        <f t="shared" si="542"/>
        <v>6.65324255591192E-3</v>
      </c>
      <c r="M162" s="170" cm="1">
        <f t="array" ref="M162:S162">TREND(E162:L162,$E$66:$L$66,$M$66:$S$66)</f>
        <v>6.5541169799951948E-3</v>
      </c>
      <c r="N162" s="160">
        <v>6.5861643675025477E-3</v>
      </c>
      <c r="O162" s="160">
        <v>6.6182117550099145E-3</v>
      </c>
      <c r="P162" s="160">
        <v>6.6502591425172813E-3</v>
      </c>
      <c r="Q162" s="160">
        <v>6.6823065300246343E-3</v>
      </c>
      <c r="R162" s="160">
        <v>6.7143539175320011E-3</v>
      </c>
      <c r="S162" s="160">
        <v>6.7464013050393679E-3</v>
      </c>
    </row>
    <row r="163" spans="1:67" ht="16.5" x14ac:dyDescent="0.35">
      <c r="B163" t="str">
        <f t="shared" si="533"/>
        <v>Összesen</v>
      </c>
      <c r="C163" t="str">
        <f t="shared" si="533"/>
        <v>Összesen</v>
      </c>
      <c r="D163" s="165" t="s">
        <v>988</v>
      </c>
      <c r="E163" s="294">
        <f t="shared" ref="E163" si="543">SUM(E156:E162)</f>
        <v>5.6828329364165882E-2</v>
      </c>
      <c r="F163" s="174">
        <f t="shared" ref="F163" si="544">SUM(F156:F162)</f>
        <v>5.8312736319592454E-2</v>
      </c>
      <c r="G163" s="174">
        <f t="shared" ref="G163" si="545">SUM(G156:G162)</f>
        <v>5.9356128912313309E-2</v>
      </c>
      <c r="H163" s="174">
        <f t="shared" ref="H163" si="546">SUM(H156:H162)</f>
        <v>5.7768600487301716E-2</v>
      </c>
      <c r="I163" s="174">
        <f t="shared" ref="I163" si="547">SUM(I156:I162)</f>
        <v>5.5870691160019574E-2</v>
      </c>
      <c r="J163" s="174">
        <f t="shared" ref="J163" si="548">SUM(J156:J162)</f>
        <v>5.6058945703136215E-2</v>
      </c>
      <c r="K163" s="174">
        <f t="shared" ref="K163" si="549">SUM(K156:K162)</f>
        <v>5.4187058461375885E-2</v>
      </c>
      <c r="L163" s="174">
        <f t="shared" ref="L163" si="550">SUM(L156:L162)</f>
        <v>5.2164492875792043E-2</v>
      </c>
      <c r="M163" s="174">
        <f t="shared" ref="M163" si="551">SUM(M156:M162)</f>
        <v>5.2832763785577684E-2</v>
      </c>
      <c r="N163" s="174">
        <f>SUM(N156:N162)</f>
        <v>5.2058183980047815E-2</v>
      </c>
      <c r="O163" s="175">
        <f t="shared" ref="O163:S163" si="552">SUM(O156:O162)</f>
        <v>5.1283604174517911E-2</v>
      </c>
      <c r="P163" s="175">
        <f t="shared" si="552"/>
        <v>5.0509024368987923E-2</v>
      </c>
      <c r="Q163" s="175">
        <f t="shared" si="552"/>
        <v>4.9734444563458054E-2</v>
      </c>
      <c r="R163" s="175">
        <f t="shared" si="552"/>
        <v>4.895986475792817E-2</v>
      </c>
      <c r="S163" s="176">
        <f t="shared" si="552"/>
        <v>4.8185284952398155E-2</v>
      </c>
    </row>
    <row r="164" spans="1:67" x14ac:dyDescent="0.35">
      <c r="B164" t="str">
        <f t="shared" si="533"/>
        <v>Kontrol (jó-e az összegzés)</v>
      </c>
      <c r="D164" s="169"/>
      <c r="E164" s="63"/>
      <c r="F164" s="63"/>
      <c r="G164" s="63"/>
      <c r="H164" s="63"/>
      <c r="I164" s="63"/>
      <c r="J164" s="63"/>
      <c r="K164" s="63"/>
      <c r="L164" s="63"/>
      <c r="M164" s="63"/>
      <c r="N164" s="67"/>
      <c r="O164" s="68"/>
      <c r="P164" s="68"/>
      <c r="Q164" s="68"/>
      <c r="R164" s="68"/>
      <c r="S164" s="64"/>
    </row>
    <row r="165" spans="1:67" x14ac:dyDescent="0.35"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  <c r="O165" s="74"/>
      <c r="P165" s="74"/>
      <c r="Q165" s="74"/>
      <c r="R165" s="74"/>
      <c r="S165" s="74"/>
    </row>
    <row r="166" spans="1:67" x14ac:dyDescent="0.35">
      <c r="A166" s="161"/>
      <c r="B166" s="161"/>
      <c r="C166" s="161"/>
      <c r="D166" s="161"/>
      <c r="E166" s="161"/>
      <c r="F166" s="161"/>
      <c r="G166" s="161"/>
      <c r="H166" s="161"/>
      <c r="I166" s="161"/>
      <c r="J166" s="161"/>
      <c r="K166" s="161"/>
      <c r="L166" s="161"/>
      <c r="M166" s="161"/>
      <c r="N166" s="161"/>
      <c r="O166" s="161"/>
      <c r="P166" s="161"/>
      <c r="Q166" s="161"/>
      <c r="R166" s="161"/>
      <c r="S166" s="161"/>
      <c r="T166" s="161"/>
      <c r="U166" s="161"/>
      <c r="V166" s="161"/>
      <c r="W166" s="161"/>
      <c r="X166" s="161"/>
      <c r="Y166" s="161"/>
      <c r="Z166" s="161"/>
      <c r="AA166" s="161"/>
      <c r="AB166" s="161"/>
      <c r="AC166" s="161"/>
      <c r="AD166" s="161"/>
      <c r="AE166" s="161"/>
      <c r="AF166" s="161"/>
      <c r="AG166" s="161"/>
      <c r="AH166" s="161"/>
      <c r="AI166" s="161"/>
      <c r="AJ166" s="161"/>
      <c r="AK166" s="161"/>
      <c r="AL166" s="161"/>
      <c r="AM166" s="161"/>
      <c r="AN166" s="161"/>
      <c r="AO166" s="161"/>
      <c r="AP166" s="161"/>
      <c r="AQ166" s="161"/>
      <c r="AR166" s="161"/>
      <c r="AS166" s="161"/>
      <c r="AT166" s="161"/>
      <c r="AU166" s="161"/>
      <c r="AV166" s="161"/>
      <c r="AW166" s="161"/>
      <c r="AX166" s="161"/>
      <c r="AY166" s="161"/>
      <c r="AZ166" s="161"/>
      <c r="BA166" s="161"/>
      <c r="BB166" s="161"/>
      <c r="BC166" s="161"/>
      <c r="BD166" s="161"/>
      <c r="BE166" s="161"/>
      <c r="BF166" s="161"/>
      <c r="BG166" s="161"/>
      <c r="BH166" s="161"/>
      <c r="BI166" s="161"/>
      <c r="BJ166" s="161"/>
      <c r="BK166" s="161"/>
      <c r="BL166" s="161"/>
      <c r="BM166" s="161"/>
      <c r="BN166" s="161"/>
      <c r="BO166" s="161"/>
    </row>
    <row r="167" spans="1:67" x14ac:dyDescent="0.35">
      <c r="E167" s="1">
        <v>1</v>
      </c>
      <c r="I167" s="1">
        <f>E167+1</f>
        <v>2</v>
      </c>
      <c r="M167" s="1">
        <f>I167+1</f>
        <v>3</v>
      </c>
      <c r="Q167" s="1">
        <f>M167+1</f>
        <v>4</v>
      </c>
      <c r="U167" s="1">
        <f>Q167+1</f>
        <v>5</v>
      </c>
      <c r="Y167" s="1">
        <f>U167+1</f>
        <v>6</v>
      </c>
      <c r="AC167" s="1">
        <f>Y167+1</f>
        <v>7</v>
      </c>
      <c r="AG167" s="1">
        <f>AC167+1</f>
        <v>8</v>
      </c>
      <c r="AK167" s="1">
        <f>AG167+1</f>
        <v>9</v>
      </c>
      <c r="AO167" s="1">
        <f>AK167+1</f>
        <v>10</v>
      </c>
      <c r="AS167" s="1">
        <f>AO167+1</f>
        <v>11</v>
      </c>
      <c r="AW167" s="1">
        <f>AS167+1</f>
        <v>12</v>
      </c>
      <c r="BA167" s="1">
        <f>AW167+1</f>
        <v>13</v>
      </c>
      <c r="BE167" s="1">
        <f>BA167+1</f>
        <v>14</v>
      </c>
      <c r="BI167" s="1">
        <f>BE167+1</f>
        <v>15</v>
      </c>
      <c r="BM167" s="1">
        <f>BI167+1</f>
        <v>16</v>
      </c>
    </row>
    <row r="168" spans="1:67" x14ac:dyDescent="0.35">
      <c r="D168" s="355">
        <v>2010</v>
      </c>
      <c r="E168" s="352"/>
      <c r="F168" s="352"/>
      <c r="G168" s="384"/>
      <c r="H168" s="355">
        <f>D168+1</f>
        <v>2011</v>
      </c>
      <c r="I168" s="352"/>
      <c r="J168" s="352"/>
      <c r="K168" s="384"/>
      <c r="L168" s="355">
        <f>H168+1</f>
        <v>2012</v>
      </c>
      <c r="M168" s="352"/>
      <c r="N168" s="352"/>
      <c r="O168" s="384"/>
      <c r="P168" s="355">
        <f>L168+1</f>
        <v>2013</v>
      </c>
      <c r="Q168" s="352"/>
      <c r="R168" s="352"/>
      <c r="S168" s="384"/>
      <c r="T168" s="355">
        <f>P168+1</f>
        <v>2014</v>
      </c>
      <c r="U168" s="352"/>
      <c r="V168" s="352"/>
      <c r="W168" s="384"/>
      <c r="X168" s="355">
        <f>T168+1</f>
        <v>2015</v>
      </c>
      <c r="Y168" s="352"/>
      <c r="Z168" s="352"/>
      <c r="AA168" s="384"/>
      <c r="AB168" s="355">
        <f>X168+1</f>
        <v>2016</v>
      </c>
      <c r="AC168" s="352"/>
      <c r="AD168" s="352"/>
      <c r="AE168" s="384"/>
      <c r="AF168" s="355">
        <f>AB168+1</f>
        <v>2017</v>
      </c>
      <c r="AG168" s="352"/>
      <c r="AH168" s="352"/>
      <c r="AI168" s="384"/>
      <c r="AJ168" s="355">
        <f>AF168+1</f>
        <v>2018</v>
      </c>
      <c r="AK168" s="352"/>
      <c r="AL168" s="352"/>
      <c r="AM168" s="384"/>
      <c r="AN168" s="355">
        <f>AJ168+1</f>
        <v>2019</v>
      </c>
      <c r="AO168" s="352"/>
      <c r="AP168" s="352"/>
      <c r="AQ168" s="384"/>
      <c r="AR168" s="355">
        <f>AN168+1</f>
        <v>2020</v>
      </c>
      <c r="AS168" s="352"/>
      <c r="AT168" s="352"/>
      <c r="AU168" s="384"/>
      <c r="AV168" s="355">
        <f>AR168+1</f>
        <v>2021</v>
      </c>
      <c r="AW168" s="352"/>
      <c r="AX168" s="352"/>
      <c r="AY168" s="384"/>
      <c r="AZ168" s="355">
        <f>AV168+1</f>
        <v>2022</v>
      </c>
      <c r="BA168" s="352"/>
      <c r="BB168" s="352"/>
      <c r="BC168" s="384"/>
      <c r="BD168" s="355">
        <f>AZ168+1</f>
        <v>2023</v>
      </c>
      <c r="BE168" s="352"/>
      <c r="BF168" s="352"/>
      <c r="BG168" s="384"/>
      <c r="BH168" s="355">
        <f>BD168+1</f>
        <v>2024</v>
      </c>
      <c r="BI168" s="352"/>
      <c r="BJ168" s="352"/>
      <c r="BK168" s="384"/>
      <c r="BL168" s="355">
        <f>BH168+1</f>
        <v>2025</v>
      </c>
      <c r="BM168" s="352"/>
      <c r="BN168" s="352"/>
      <c r="BO168" s="384"/>
    </row>
    <row r="169" spans="1:67" x14ac:dyDescent="0.35">
      <c r="D169" s="135" t="s">
        <v>0</v>
      </c>
      <c r="E169" s="135" t="s">
        <v>1</v>
      </c>
      <c r="F169" s="8" t="s">
        <v>2</v>
      </c>
      <c r="G169" s="136" t="s">
        <v>21</v>
      </c>
      <c r="H169" s="135" t="str">
        <f>D169</f>
        <v>Upstream</v>
      </c>
      <c r="I169" s="135" t="str">
        <f t="shared" ref="I169" si="553">E169</f>
        <v>Gyártás</v>
      </c>
      <c r="J169" s="8" t="str">
        <f t="shared" ref="J169" si="554">F169</f>
        <v>Downstream</v>
      </c>
      <c r="K169" s="136" t="str">
        <f t="shared" ref="K169" si="555">G169</f>
        <v>Összesen</v>
      </c>
      <c r="L169" s="135" t="str">
        <f>H169</f>
        <v>Upstream</v>
      </c>
      <c r="M169" s="135" t="str">
        <f t="shared" ref="M169" si="556">I169</f>
        <v>Gyártás</v>
      </c>
      <c r="N169" s="8" t="str">
        <f t="shared" ref="N169" si="557">J169</f>
        <v>Downstream</v>
      </c>
      <c r="O169" s="136" t="str">
        <f t="shared" ref="O169" si="558">K169</f>
        <v>Összesen</v>
      </c>
      <c r="P169" s="135" t="str">
        <f>L169</f>
        <v>Upstream</v>
      </c>
      <c r="Q169" s="135" t="str">
        <f t="shared" ref="Q169" si="559">M169</f>
        <v>Gyártás</v>
      </c>
      <c r="R169" s="8" t="str">
        <f t="shared" ref="R169" si="560">N169</f>
        <v>Downstream</v>
      </c>
      <c r="S169" s="136" t="str">
        <f t="shared" ref="S169" si="561">O169</f>
        <v>Összesen</v>
      </c>
      <c r="T169" s="135" t="str">
        <f>P169</f>
        <v>Upstream</v>
      </c>
      <c r="U169" s="135" t="str">
        <f t="shared" ref="U169" si="562">Q169</f>
        <v>Gyártás</v>
      </c>
      <c r="V169" s="8" t="str">
        <f t="shared" ref="V169" si="563">R169</f>
        <v>Downstream</v>
      </c>
      <c r="W169" s="136" t="str">
        <f t="shared" ref="W169" si="564">S169</f>
        <v>Összesen</v>
      </c>
      <c r="X169" s="135" t="str">
        <f>T169</f>
        <v>Upstream</v>
      </c>
      <c r="Y169" s="135" t="str">
        <f t="shared" ref="Y169" si="565">U169</f>
        <v>Gyártás</v>
      </c>
      <c r="Z169" s="8" t="str">
        <f t="shared" ref="Z169" si="566">V169</f>
        <v>Downstream</v>
      </c>
      <c r="AA169" s="136" t="str">
        <f t="shared" ref="AA169" si="567">W169</f>
        <v>Összesen</v>
      </c>
      <c r="AB169" s="135" t="str">
        <f>X169</f>
        <v>Upstream</v>
      </c>
      <c r="AC169" s="135" t="str">
        <f t="shared" ref="AC169" si="568">Y169</f>
        <v>Gyártás</v>
      </c>
      <c r="AD169" s="8" t="str">
        <f t="shared" ref="AD169" si="569">Z169</f>
        <v>Downstream</v>
      </c>
      <c r="AE169" s="136" t="str">
        <f t="shared" ref="AE169" si="570">AA169</f>
        <v>Összesen</v>
      </c>
      <c r="AF169" s="135" t="str">
        <f>AB169</f>
        <v>Upstream</v>
      </c>
      <c r="AG169" s="135" t="str">
        <f t="shared" ref="AG169" si="571">AC169</f>
        <v>Gyártás</v>
      </c>
      <c r="AH169" s="8" t="str">
        <f t="shared" ref="AH169" si="572">AD169</f>
        <v>Downstream</v>
      </c>
      <c r="AI169" s="136" t="str">
        <f t="shared" ref="AI169" si="573">AE169</f>
        <v>Összesen</v>
      </c>
      <c r="AJ169" s="135" t="str">
        <f>AF169</f>
        <v>Upstream</v>
      </c>
      <c r="AK169" s="135" t="str">
        <f t="shared" ref="AK169" si="574">AG169</f>
        <v>Gyártás</v>
      </c>
      <c r="AL169" s="8" t="str">
        <f t="shared" ref="AL169" si="575">AH169</f>
        <v>Downstream</v>
      </c>
      <c r="AM169" s="136" t="str">
        <f t="shared" ref="AM169" si="576">AI169</f>
        <v>Összesen</v>
      </c>
      <c r="AN169" s="135" t="str">
        <f>AJ169</f>
        <v>Upstream</v>
      </c>
      <c r="AO169" s="135" t="str">
        <f t="shared" ref="AO169" si="577">AK169</f>
        <v>Gyártás</v>
      </c>
      <c r="AP169" s="8" t="str">
        <f t="shared" ref="AP169" si="578">AL169</f>
        <v>Downstream</v>
      </c>
      <c r="AQ169" s="136" t="str">
        <f t="shared" ref="AQ169" si="579">AM169</f>
        <v>Összesen</v>
      </c>
      <c r="AR169" s="135" t="str">
        <f>AN169</f>
        <v>Upstream</v>
      </c>
      <c r="AS169" s="135" t="str">
        <f>AO169</f>
        <v>Gyártás</v>
      </c>
      <c r="AT169" s="8" t="str">
        <f>AP169</f>
        <v>Downstream</v>
      </c>
      <c r="AU169" s="136" t="str">
        <f>AQ169</f>
        <v>Összesen</v>
      </c>
      <c r="AV169" s="135" t="str">
        <f>AR169</f>
        <v>Upstream</v>
      </c>
      <c r="AW169" s="135" t="str">
        <f t="shared" ref="AW169" si="580">AS169</f>
        <v>Gyártás</v>
      </c>
      <c r="AX169" s="8" t="str">
        <f t="shared" ref="AX169" si="581">AT169</f>
        <v>Downstream</v>
      </c>
      <c r="AY169" s="136" t="str">
        <f t="shared" ref="AY169" si="582">AU169</f>
        <v>Összesen</v>
      </c>
      <c r="AZ169" s="135" t="str">
        <f>AV169</f>
        <v>Upstream</v>
      </c>
      <c r="BA169" s="135" t="str">
        <f t="shared" ref="BA169" si="583">AW169</f>
        <v>Gyártás</v>
      </c>
      <c r="BB169" s="8" t="str">
        <f t="shared" ref="BB169" si="584">AX169</f>
        <v>Downstream</v>
      </c>
      <c r="BC169" s="136" t="str">
        <f t="shared" ref="BC169" si="585">AY169</f>
        <v>Összesen</v>
      </c>
      <c r="BD169" s="135" t="str">
        <f>AZ169</f>
        <v>Upstream</v>
      </c>
      <c r="BE169" s="135" t="str">
        <f t="shared" ref="BE169" si="586">BA169</f>
        <v>Gyártás</v>
      </c>
      <c r="BF169" s="8" t="str">
        <f t="shared" ref="BF169" si="587">BB169</f>
        <v>Downstream</v>
      </c>
      <c r="BG169" s="136" t="str">
        <f t="shared" ref="BG169" si="588">BC169</f>
        <v>Összesen</v>
      </c>
      <c r="BH169" s="135" t="str">
        <f>BD169</f>
        <v>Upstream</v>
      </c>
      <c r="BI169" s="135" t="str">
        <f t="shared" ref="BI169" si="589">BE169</f>
        <v>Gyártás</v>
      </c>
      <c r="BJ169" s="8" t="str">
        <f t="shared" ref="BJ169" si="590">BF169</f>
        <v>Downstream</v>
      </c>
      <c r="BK169" s="12" t="str">
        <f t="shared" ref="BK169" si="591">BG169</f>
        <v>Összesen</v>
      </c>
      <c r="BL169" s="135" t="str">
        <f>BH169</f>
        <v>Upstream</v>
      </c>
      <c r="BM169" s="135" t="str">
        <f t="shared" ref="BM169" si="592">BI169</f>
        <v>Gyártás</v>
      </c>
      <c r="BN169" s="8" t="str">
        <f t="shared" ref="BN169" si="593">BJ169</f>
        <v>Downstream</v>
      </c>
      <c r="BO169" s="12" t="str">
        <f t="shared" ref="BO169" si="594">BK169</f>
        <v>Összesen</v>
      </c>
    </row>
    <row r="170" spans="1:67" x14ac:dyDescent="0.35">
      <c r="A170" t="s">
        <v>34</v>
      </c>
      <c r="D170" s="50"/>
      <c r="E170" s="51"/>
      <c r="F170" s="52"/>
      <c r="G170" s="51"/>
      <c r="H170" s="50"/>
      <c r="I170" s="51"/>
      <c r="J170" s="52"/>
      <c r="K170" s="51"/>
      <c r="L170" s="50"/>
      <c r="M170" s="51"/>
      <c r="N170" s="52"/>
      <c r="O170" s="51"/>
      <c r="P170" s="50"/>
      <c r="Q170" s="51"/>
      <c r="R170" s="52"/>
      <c r="S170" s="51"/>
      <c r="T170" s="50"/>
      <c r="U170" s="51"/>
      <c r="V170" s="52"/>
      <c r="W170" s="51"/>
      <c r="X170" s="50"/>
      <c r="Y170" s="51"/>
      <c r="Z170" s="52"/>
      <c r="AA170" s="51"/>
      <c r="AB170" s="50"/>
      <c r="AC170" s="51"/>
      <c r="AD170" s="52"/>
      <c r="AE170" s="51"/>
      <c r="AF170" s="50"/>
      <c r="AG170" s="51"/>
      <c r="AH170" s="52"/>
      <c r="AI170" s="51"/>
      <c r="AJ170" s="50"/>
      <c r="AK170" s="51"/>
      <c r="AL170" s="52"/>
      <c r="AM170" s="51"/>
      <c r="AN170" s="50"/>
      <c r="AO170" s="51"/>
      <c r="AP170" s="52"/>
      <c r="AQ170" s="51"/>
      <c r="AR170" s="400" t="s">
        <v>886</v>
      </c>
      <c r="AS170" s="401"/>
      <c r="AT170" s="402"/>
      <c r="AU170" s="51"/>
      <c r="AV170" s="400" t="s">
        <v>892</v>
      </c>
      <c r="AW170" s="401"/>
      <c r="AX170" s="402"/>
      <c r="AY170" s="51"/>
      <c r="AZ170" s="400" t="s">
        <v>891</v>
      </c>
      <c r="BA170" s="401"/>
      <c r="BB170" s="402"/>
      <c r="BC170" s="51"/>
      <c r="BD170" s="400" t="s">
        <v>890</v>
      </c>
      <c r="BE170" s="401"/>
      <c r="BF170" s="402"/>
      <c r="BG170" s="51"/>
      <c r="BH170" s="400" t="s">
        <v>889</v>
      </c>
      <c r="BI170" s="401"/>
      <c r="BJ170" s="402"/>
      <c r="BK170" s="53"/>
      <c r="BL170" s="400" t="s">
        <v>888</v>
      </c>
      <c r="BM170" s="401"/>
      <c r="BN170" s="402"/>
      <c r="BO170" s="53"/>
    </row>
    <row r="171" spans="1:67" x14ac:dyDescent="0.35">
      <c r="B171" t="s">
        <v>3</v>
      </c>
      <c r="D171" s="367" t="s">
        <v>115</v>
      </c>
      <c r="E171" s="406"/>
      <c r="F171" s="407"/>
      <c r="G171" s="411" t="s">
        <v>117</v>
      </c>
      <c r="H171" s="367" t="s">
        <v>322</v>
      </c>
      <c r="I171" s="406"/>
      <c r="J171" s="407"/>
      <c r="K171" s="411" t="s">
        <v>677</v>
      </c>
      <c r="L171" s="367" t="s">
        <v>325</v>
      </c>
      <c r="M171" s="406"/>
      <c r="N171" s="407"/>
      <c r="O171" s="411" t="s">
        <v>683</v>
      </c>
      <c r="P171" s="367" t="s">
        <v>328</v>
      </c>
      <c r="Q171" s="406"/>
      <c r="R171" s="407"/>
      <c r="S171" s="411" t="s">
        <v>689</v>
      </c>
      <c r="T171" s="367" t="s">
        <v>331</v>
      </c>
      <c r="U171" s="406"/>
      <c r="V171" s="407"/>
      <c r="W171" s="411" t="s">
        <v>695</v>
      </c>
      <c r="X171" s="367" t="s">
        <v>115</v>
      </c>
      <c r="Y171" s="406"/>
      <c r="Z171" s="407"/>
      <c r="AA171" s="411" t="s">
        <v>117</v>
      </c>
      <c r="AB171" s="367" t="s">
        <v>368</v>
      </c>
      <c r="AC171" s="406"/>
      <c r="AD171" s="407"/>
      <c r="AE171" s="411" t="s">
        <v>701</v>
      </c>
      <c r="AF171" s="367" t="s">
        <v>402</v>
      </c>
      <c r="AG171" s="406"/>
      <c r="AH171" s="407"/>
      <c r="AI171" s="411" t="s">
        <v>707</v>
      </c>
      <c r="AJ171" s="367" t="s">
        <v>428</v>
      </c>
      <c r="AK171" s="406"/>
      <c r="AL171" s="407"/>
      <c r="AM171" s="411" t="s">
        <v>713</v>
      </c>
      <c r="AN171" s="367" t="s">
        <v>462</v>
      </c>
      <c r="AO171" s="406"/>
      <c r="AP171" s="407"/>
      <c r="AQ171" s="411" t="s">
        <v>719</v>
      </c>
      <c r="AR171" s="5" t="str">
        <f t="shared" ref="AR171:AR180" si="595">CONCATENATE(AR$197,"u * ",AR203)</f>
        <v>x20'u * Trend Ḟu - Fegyveresek 2020</v>
      </c>
      <c r="AS171" s="6" t="str">
        <f t="shared" ref="AS171:AS180" si="596">CONCATENATE(AR$197,"g * ",AS203)</f>
        <v>x20'g * Trend Ḟg - Fegyveresek 2020</v>
      </c>
      <c r="AT171" s="6" t="str">
        <f t="shared" ref="AT171:AT180" si="597">CONCATENATE(AR$197,"d * ",AT203)</f>
        <v>x20'd * Trend Ḟd - Fegyveresek 2020</v>
      </c>
      <c r="AU171" s="411" t="s">
        <v>878</v>
      </c>
      <c r="AV171" s="5" t="str">
        <f t="shared" ref="AV171:AV180" si="598">CONCATENATE(AV$197,"u * ",AV203)</f>
        <v>x21'u * Trend Ḟu - Fegyveresek 2021</v>
      </c>
      <c r="AW171" s="6" t="str">
        <f t="shared" ref="AW171:AW180" si="599">CONCATENATE(AV$197,"g * ",AW203)</f>
        <v>x21'g * Trend Ḟg - Fegyveresek 2021</v>
      </c>
      <c r="AX171" s="6" t="str">
        <f t="shared" ref="AX171:AX180" si="600">CONCATENATE(AV$197,"d * ",AX203)</f>
        <v>x21'd * Trend Ḟd - Fegyveresek 2021</v>
      </c>
      <c r="AY171" s="411" t="s">
        <v>898</v>
      </c>
      <c r="AZ171" s="5" t="str">
        <f t="shared" ref="AZ171:AZ180" si="601">CONCATENATE(AZ$197,"u * ",AZ203)</f>
        <v>x22'u * Trend Ḟu - Fegyveresek 2022</v>
      </c>
      <c r="BA171" s="6" t="str">
        <f t="shared" ref="BA171:BA180" si="602">CONCATENATE(AZ$197,"g * ",BA203)</f>
        <v>x22'g * Trend Ḟg - Fegyveresek 2022</v>
      </c>
      <c r="BB171" s="6" t="str">
        <f t="shared" ref="BB171:BB180" si="603">CONCATENATE(AZ$197,"d * ",BB203)</f>
        <v>x22'd * Trend Ḟd - Fegyveresek 2022</v>
      </c>
      <c r="BC171" s="411" t="s">
        <v>906</v>
      </c>
      <c r="BD171" s="5" t="str">
        <f t="shared" ref="BD171:BD180" si="604">CONCATENATE(BD$197,"u * ",BD203)</f>
        <v>x23'u * Trend Ḟu - Fegyveresek 2023</v>
      </c>
      <c r="BE171" s="6" t="str">
        <f t="shared" ref="BE171:BE180" si="605">CONCATENATE(BD$197,"g * ",BE203)</f>
        <v>x23'g * Trend Ḟg - Fegyveresek 2023</v>
      </c>
      <c r="BF171" s="6" t="str">
        <f t="shared" ref="BF171:BF180" si="606">CONCATENATE(BD$197,"d * ",BF203)</f>
        <v>x23'd * Trend Ḟd - Fegyveresek 2023</v>
      </c>
      <c r="BG171" s="411" t="s">
        <v>914</v>
      </c>
      <c r="BH171" s="5" t="str">
        <f t="shared" ref="BH171:BH180" si="607">CONCATENATE(BH$197,"u * ",BH203)</f>
        <v>x24'u * Trend Ḟu - Fegyveresek 2024</v>
      </c>
      <c r="BI171" s="6" t="str">
        <f t="shared" ref="BI171:BI180" si="608">CONCATENATE(BH$197,"g * ",BI203)</f>
        <v>x24'g * Trend Ḟg - Fegyveresek 2024</v>
      </c>
      <c r="BJ171" s="6" t="str">
        <f t="shared" ref="BJ171:BJ180" si="609">CONCATENATE(BH$197,"d * ",BJ203)</f>
        <v>x24'd * Trend Ḟd - Fegyveresek 2024</v>
      </c>
      <c r="BK171" s="411" t="s">
        <v>922</v>
      </c>
      <c r="BL171" s="5" t="str">
        <f t="shared" ref="BL171:BL180" si="610">CONCATENATE(BL$197,"u * ",BL203)</f>
        <v>x25'u * Trend Ḟu - Fegyveresek 2025</v>
      </c>
      <c r="BM171" s="6" t="str">
        <f t="shared" ref="BM171:BM180" si="611">CONCATENATE(BL$197,"g * ",BM203)</f>
        <v>x25'g * Trend Ḟg - Fegyveresek 2025</v>
      </c>
      <c r="BN171" s="6" t="str">
        <f t="shared" ref="BN171:BN180" si="612">CONCATENATE(BL$197,"d * ",BN203)</f>
        <v>x25'd * Trend Ḟd - Fegyveresek 2025</v>
      </c>
      <c r="BO171" s="411" t="s">
        <v>930</v>
      </c>
    </row>
    <row r="172" spans="1:67" x14ac:dyDescent="0.35">
      <c r="B172" t="s">
        <v>4</v>
      </c>
      <c r="D172" s="367"/>
      <c r="E172" s="406"/>
      <c r="F172" s="407"/>
      <c r="G172" s="411"/>
      <c r="H172" s="367"/>
      <c r="I172" s="406"/>
      <c r="J172" s="407"/>
      <c r="K172" s="411"/>
      <c r="L172" s="367"/>
      <c r="M172" s="406"/>
      <c r="N172" s="407"/>
      <c r="O172" s="411"/>
      <c r="P172" s="367"/>
      <c r="Q172" s="406"/>
      <c r="R172" s="407"/>
      <c r="S172" s="411"/>
      <c r="T172" s="367"/>
      <c r="U172" s="406"/>
      <c r="V172" s="407"/>
      <c r="W172" s="411"/>
      <c r="X172" s="367"/>
      <c r="Y172" s="406"/>
      <c r="Z172" s="407"/>
      <c r="AA172" s="411"/>
      <c r="AB172" s="367"/>
      <c r="AC172" s="406"/>
      <c r="AD172" s="407"/>
      <c r="AE172" s="411"/>
      <c r="AF172" s="367"/>
      <c r="AG172" s="406"/>
      <c r="AH172" s="407"/>
      <c r="AI172" s="411"/>
      <c r="AJ172" s="367"/>
      <c r="AK172" s="406"/>
      <c r="AL172" s="407"/>
      <c r="AM172" s="411"/>
      <c r="AN172" s="367"/>
      <c r="AO172" s="406"/>
      <c r="AP172" s="407"/>
      <c r="AQ172" s="411"/>
      <c r="AR172" s="5" t="str">
        <f t="shared" si="595"/>
        <v>x20'u * Trend Ḟu - Vezetők 2020</v>
      </c>
      <c r="AS172" s="6" t="str">
        <f t="shared" si="596"/>
        <v>x20'g * Trend Ḟg - Vezetők 2020</v>
      </c>
      <c r="AT172" s="6" t="str">
        <f t="shared" si="597"/>
        <v>x20'd * Trend Ḟd - Vezetők 2020</v>
      </c>
      <c r="AU172" s="411"/>
      <c r="AV172" s="5" t="str">
        <f t="shared" si="598"/>
        <v>x21'u * Trend Ḟu - Vezetők 2021</v>
      </c>
      <c r="AW172" s="6" t="str">
        <f t="shared" si="599"/>
        <v>x21'g * Trend Ḟg - Vezetők 2021</v>
      </c>
      <c r="AX172" s="6" t="str">
        <f t="shared" si="600"/>
        <v>x21'd * Trend Ḟd - Vezetők 2021</v>
      </c>
      <c r="AY172" s="411"/>
      <c r="AZ172" s="5" t="str">
        <f t="shared" si="601"/>
        <v>x22'u * Trend Ḟu - Vezetők 2022</v>
      </c>
      <c r="BA172" s="6" t="str">
        <f t="shared" si="602"/>
        <v>x22'g * Trend Ḟg - Vezetők 2022</v>
      </c>
      <c r="BB172" s="6" t="str">
        <f t="shared" si="603"/>
        <v>x22'd * Trend Ḟd - Vezetők 2022</v>
      </c>
      <c r="BC172" s="411"/>
      <c r="BD172" s="5" t="str">
        <f t="shared" si="604"/>
        <v>x23'u * Trend Ḟu - Vezetők 2023</v>
      </c>
      <c r="BE172" s="6" t="str">
        <f t="shared" si="605"/>
        <v>x23'g * Trend Ḟg - Vezetők 2023</v>
      </c>
      <c r="BF172" s="6" t="str">
        <f t="shared" si="606"/>
        <v>x23'd * Trend Ḟd - Vezetők 2023</v>
      </c>
      <c r="BG172" s="411"/>
      <c r="BH172" s="5" t="str">
        <f t="shared" si="607"/>
        <v>x24'u * Trend Ḟu - Vezetők 2024</v>
      </c>
      <c r="BI172" s="6" t="str">
        <f t="shared" si="608"/>
        <v>x24'g * Trend Ḟg - Vezetők 2024</v>
      </c>
      <c r="BJ172" s="6" t="str">
        <f t="shared" si="609"/>
        <v>x24'd * Trend Ḟd - Vezetők 2024</v>
      </c>
      <c r="BK172" s="411"/>
      <c r="BL172" s="5" t="str">
        <f t="shared" si="610"/>
        <v>x25'u * Trend Ḟu - Vezetők 2025</v>
      </c>
      <c r="BM172" s="6" t="str">
        <f t="shared" si="611"/>
        <v>x25'g * Trend Ḟg - Vezetők 2025</v>
      </c>
      <c r="BN172" s="6" t="str">
        <f t="shared" si="612"/>
        <v>x25'd * Trend Ḟd - Vezetők 2025</v>
      </c>
      <c r="BO172" s="411"/>
    </row>
    <row r="173" spans="1:67" x14ac:dyDescent="0.35">
      <c r="B173" t="s">
        <v>5</v>
      </c>
      <c r="D173" s="367"/>
      <c r="E173" s="406"/>
      <c r="F173" s="407"/>
      <c r="G173" s="411"/>
      <c r="H173" s="367"/>
      <c r="I173" s="406"/>
      <c r="J173" s="407"/>
      <c r="K173" s="411"/>
      <c r="L173" s="367"/>
      <c r="M173" s="406"/>
      <c r="N173" s="407"/>
      <c r="O173" s="411"/>
      <c r="P173" s="367"/>
      <c r="Q173" s="406"/>
      <c r="R173" s="407"/>
      <c r="S173" s="411"/>
      <c r="T173" s="367"/>
      <c r="U173" s="406"/>
      <c r="V173" s="407"/>
      <c r="W173" s="411"/>
      <c r="X173" s="367"/>
      <c r="Y173" s="406"/>
      <c r="Z173" s="407"/>
      <c r="AA173" s="411"/>
      <c r="AB173" s="367"/>
      <c r="AC173" s="406"/>
      <c r="AD173" s="407"/>
      <c r="AE173" s="411"/>
      <c r="AF173" s="367"/>
      <c r="AG173" s="406"/>
      <c r="AH173" s="407"/>
      <c r="AI173" s="411"/>
      <c r="AJ173" s="367"/>
      <c r="AK173" s="406"/>
      <c r="AL173" s="407"/>
      <c r="AM173" s="411"/>
      <c r="AN173" s="367"/>
      <c r="AO173" s="406"/>
      <c r="AP173" s="407"/>
      <c r="AQ173" s="411"/>
      <c r="AR173" s="5" t="str">
        <f t="shared" si="595"/>
        <v>x20'u * Trend Ḟu - Felsőfokúak 2020</v>
      </c>
      <c r="AS173" s="6" t="str">
        <f t="shared" si="596"/>
        <v>x20'g * Trend Ḟg - Felsőfokúak 2020</v>
      </c>
      <c r="AT173" s="6" t="str">
        <f t="shared" si="597"/>
        <v>x20'd * Trend Ḟd - Felsőfokúak 2020</v>
      </c>
      <c r="AU173" s="411"/>
      <c r="AV173" s="5" t="str">
        <f t="shared" si="598"/>
        <v>x21'u * Trend Ḟu - Felsőfokúak 2021</v>
      </c>
      <c r="AW173" s="6" t="str">
        <f t="shared" si="599"/>
        <v>x21'g * Trend Ḟg - Felsőfokúak 2021</v>
      </c>
      <c r="AX173" s="6" t="str">
        <f t="shared" si="600"/>
        <v>x21'd * Trend Ḟd - Felsőfokúak 2021</v>
      </c>
      <c r="AY173" s="411"/>
      <c r="AZ173" s="5" t="str">
        <f t="shared" si="601"/>
        <v>x22'u * Trend Ḟu - Felsőfokúak 2022</v>
      </c>
      <c r="BA173" s="6" t="str">
        <f t="shared" si="602"/>
        <v>x22'g * Trend Ḟg - Felsőfokúak 2022</v>
      </c>
      <c r="BB173" s="6" t="str">
        <f t="shared" si="603"/>
        <v>x22'd * Trend Ḟd - Felsőfokúak 2022</v>
      </c>
      <c r="BC173" s="411"/>
      <c r="BD173" s="5" t="str">
        <f t="shared" si="604"/>
        <v>x23'u * Trend Ḟu - Felsőfokúak 2023</v>
      </c>
      <c r="BE173" s="6" t="str">
        <f t="shared" si="605"/>
        <v>x23'g * Trend Ḟg - Felsőfokúak 2023</v>
      </c>
      <c r="BF173" s="6" t="str">
        <f t="shared" si="606"/>
        <v>x23'd * Trend Ḟd - Felsőfokúak 2023</v>
      </c>
      <c r="BG173" s="411"/>
      <c r="BH173" s="5" t="str">
        <f t="shared" si="607"/>
        <v>x24'u * Trend Ḟu - Felsőfokúak 2024</v>
      </c>
      <c r="BI173" s="6" t="str">
        <f t="shared" si="608"/>
        <v>x24'g * Trend Ḟg - Felsőfokúak 2024</v>
      </c>
      <c r="BJ173" s="6" t="str">
        <f t="shared" si="609"/>
        <v>x24'd * Trend Ḟd - Felsőfokúak 2024</v>
      </c>
      <c r="BK173" s="411"/>
      <c r="BL173" s="5" t="str">
        <f t="shared" si="610"/>
        <v>x25'u * Trend Ḟu - Felsőfokúak 2025</v>
      </c>
      <c r="BM173" s="6" t="str">
        <f t="shared" si="611"/>
        <v>x25'g * Trend Ḟg - Felsőfokúak 2025</v>
      </c>
      <c r="BN173" s="6" t="str">
        <f t="shared" si="612"/>
        <v>x25'd * Trend Ḟd - Felsőfokúak 2025</v>
      </c>
      <c r="BO173" s="411"/>
    </row>
    <row r="174" spans="1:67" x14ac:dyDescent="0.35">
      <c r="B174" t="s">
        <v>6</v>
      </c>
      <c r="D174" s="367"/>
      <c r="E174" s="406"/>
      <c r="F174" s="407"/>
      <c r="G174" s="411"/>
      <c r="H174" s="367"/>
      <c r="I174" s="406"/>
      <c r="J174" s="407"/>
      <c r="K174" s="411"/>
      <c r="L174" s="367"/>
      <c r="M174" s="406"/>
      <c r="N174" s="407"/>
      <c r="O174" s="411"/>
      <c r="P174" s="367"/>
      <c r="Q174" s="406"/>
      <c r="R174" s="407"/>
      <c r="S174" s="411"/>
      <c r="T174" s="367"/>
      <c r="U174" s="406"/>
      <c r="V174" s="407"/>
      <c r="W174" s="411"/>
      <c r="X174" s="367"/>
      <c r="Y174" s="406"/>
      <c r="Z174" s="407"/>
      <c r="AA174" s="411"/>
      <c r="AB174" s="367"/>
      <c r="AC174" s="406"/>
      <c r="AD174" s="407"/>
      <c r="AE174" s="411"/>
      <c r="AF174" s="367"/>
      <c r="AG174" s="406"/>
      <c r="AH174" s="407"/>
      <c r="AI174" s="411"/>
      <c r="AJ174" s="367"/>
      <c r="AK174" s="406"/>
      <c r="AL174" s="407"/>
      <c r="AM174" s="411"/>
      <c r="AN174" s="367"/>
      <c r="AO174" s="406"/>
      <c r="AP174" s="407"/>
      <c r="AQ174" s="411"/>
      <c r="AR174" s="5" t="str">
        <f t="shared" si="595"/>
        <v>x20'u * Trend Ḟu - Egyéb felső 2020</v>
      </c>
      <c r="AS174" s="6" t="str">
        <f t="shared" si="596"/>
        <v>x20'g * Trend Ḟg - Egyéb felső 2020</v>
      </c>
      <c r="AT174" s="6" t="str">
        <f t="shared" si="597"/>
        <v>x20'd * Trend Ḟd - Egyéb felső 2020</v>
      </c>
      <c r="AU174" s="411"/>
      <c r="AV174" s="5" t="str">
        <f t="shared" si="598"/>
        <v>x21'u * Trend Ḟu - Egyéb felső 2021</v>
      </c>
      <c r="AW174" s="6" t="str">
        <f t="shared" si="599"/>
        <v>x21'g * Trend Ḟg - Egyéb felső 2021</v>
      </c>
      <c r="AX174" s="6" t="str">
        <f t="shared" si="600"/>
        <v>x21'd * Trend Ḟd - Egyéb felső 2021</v>
      </c>
      <c r="AY174" s="411"/>
      <c r="AZ174" s="5" t="str">
        <f t="shared" si="601"/>
        <v>x22'u * Trend Ḟu - Egyéb felső 2022</v>
      </c>
      <c r="BA174" s="6" t="str">
        <f t="shared" si="602"/>
        <v>x22'g * Trend Ḟg - Egyéb felső 2022</v>
      </c>
      <c r="BB174" s="6" t="str">
        <f t="shared" si="603"/>
        <v>x22'd * Trend Ḟd - Egyéb felső 2022</v>
      </c>
      <c r="BC174" s="411"/>
      <c r="BD174" s="5" t="str">
        <f t="shared" si="604"/>
        <v>x23'u * Trend Ḟu - Egyéb felső 2023</v>
      </c>
      <c r="BE174" s="6" t="str">
        <f t="shared" si="605"/>
        <v>x23'g * Trend Ḟg - Egyéb felső 2023</v>
      </c>
      <c r="BF174" s="6" t="str">
        <f t="shared" si="606"/>
        <v>x23'd * Trend Ḟd - Egyéb felső 2023</v>
      </c>
      <c r="BG174" s="411"/>
      <c r="BH174" s="5" t="str">
        <f t="shared" si="607"/>
        <v>x24'u * Trend Ḟu - Egyéb felső 2024</v>
      </c>
      <c r="BI174" s="6" t="str">
        <f t="shared" si="608"/>
        <v>x24'g * Trend Ḟg - Egyéb felső 2024</v>
      </c>
      <c r="BJ174" s="6" t="str">
        <f t="shared" si="609"/>
        <v>x24'd * Trend Ḟd - Egyéb felső 2024</v>
      </c>
      <c r="BK174" s="411"/>
      <c r="BL174" s="5" t="str">
        <f t="shared" si="610"/>
        <v>x25'u * Trend Ḟu - Egyéb felső 2025</v>
      </c>
      <c r="BM174" s="6" t="str">
        <f t="shared" si="611"/>
        <v>x25'g * Trend Ḟg - Egyéb felső 2025</v>
      </c>
      <c r="BN174" s="6" t="str">
        <f t="shared" si="612"/>
        <v>x25'd * Trend Ḟd - Egyéb felső 2025</v>
      </c>
      <c r="BO174" s="411"/>
    </row>
    <row r="175" spans="1:67" x14ac:dyDescent="0.35">
      <c r="B175" t="s">
        <v>7</v>
      </c>
      <c r="D175" s="367"/>
      <c r="E175" s="406"/>
      <c r="F175" s="407"/>
      <c r="G175" s="411"/>
      <c r="H175" s="367"/>
      <c r="I175" s="406"/>
      <c r="J175" s="407"/>
      <c r="K175" s="411"/>
      <c r="L175" s="367"/>
      <c r="M175" s="406"/>
      <c r="N175" s="407"/>
      <c r="O175" s="411"/>
      <c r="P175" s="367"/>
      <c r="Q175" s="406"/>
      <c r="R175" s="407"/>
      <c r="S175" s="411"/>
      <c r="T175" s="367"/>
      <c r="U175" s="406"/>
      <c r="V175" s="407"/>
      <c r="W175" s="411"/>
      <c r="X175" s="367"/>
      <c r="Y175" s="406"/>
      <c r="Z175" s="407"/>
      <c r="AA175" s="411"/>
      <c r="AB175" s="367"/>
      <c r="AC175" s="406"/>
      <c r="AD175" s="407"/>
      <c r="AE175" s="411"/>
      <c r="AF175" s="367"/>
      <c r="AG175" s="406"/>
      <c r="AH175" s="407"/>
      <c r="AI175" s="411"/>
      <c r="AJ175" s="367"/>
      <c r="AK175" s="406"/>
      <c r="AL175" s="407"/>
      <c r="AM175" s="411"/>
      <c r="AN175" s="367"/>
      <c r="AO175" s="406"/>
      <c r="AP175" s="407"/>
      <c r="AQ175" s="411"/>
      <c r="AR175" s="5" t="str">
        <f t="shared" si="595"/>
        <v>x20'u * Trend Ḟu - Iroda-ügyvitel 2020</v>
      </c>
      <c r="AS175" s="6" t="str">
        <f t="shared" si="596"/>
        <v>x20'g * Trend Ḟg - Iroda-ügyvitel 2020</v>
      </c>
      <c r="AT175" s="6" t="str">
        <f t="shared" si="597"/>
        <v>x20'd * Trend Ḟd - Iroda-ügyvitel 2020</v>
      </c>
      <c r="AU175" s="411"/>
      <c r="AV175" s="5" t="str">
        <f t="shared" si="598"/>
        <v>x21'u * Trend Ḟu - Iroda-ügyvitel 2021</v>
      </c>
      <c r="AW175" s="6" t="str">
        <f t="shared" si="599"/>
        <v>x21'g * Trend Ḟg - Iroda-ügyvitel 2021</v>
      </c>
      <c r="AX175" s="6" t="str">
        <f t="shared" si="600"/>
        <v>x21'd * Trend Ḟd - Iroda-ügyvitel 2021</v>
      </c>
      <c r="AY175" s="411"/>
      <c r="AZ175" s="5" t="str">
        <f t="shared" si="601"/>
        <v>x22'u * Trend Ḟu - Iroda-ügyvitel 2022</v>
      </c>
      <c r="BA175" s="6" t="str">
        <f t="shared" si="602"/>
        <v>x22'g * Trend Ḟg - Iroda-ügyvitel 2022</v>
      </c>
      <c r="BB175" s="6" t="str">
        <f t="shared" si="603"/>
        <v>x22'd * Trend Ḟd - Iroda-ügyvitel 2022</v>
      </c>
      <c r="BC175" s="411"/>
      <c r="BD175" s="5" t="str">
        <f t="shared" si="604"/>
        <v>x23'u * Trend Ḟu - Iroda-ügyvitel 2023</v>
      </c>
      <c r="BE175" s="6" t="str">
        <f t="shared" si="605"/>
        <v>x23'g * Trend Ḟg - Iroda-ügyvitel 2023</v>
      </c>
      <c r="BF175" s="6" t="str">
        <f t="shared" si="606"/>
        <v>x23'd * Trend Ḟd - Iroda-ügyvitel 2023</v>
      </c>
      <c r="BG175" s="411"/>
      <c r="BH175" s="5" t="str">
        <f t="shared" si="607"/>
        <v>x24'u * Trend Ḟu - Iroda-ügyvitel 2024</v>
      </c>
      <c r="BI175" s="6" t="str">
        <f t="shared" si="608"/>
        <v>x24'g * Trend Ḟg - Iroda-ügyvitel 2024</v>
      </c>
      <c r="BJ175" s="6" t="str">
        <f t="shared" si="609"/>
        <v>x24'd * Trend Ḟd - Iroda-ügyvitel 2024</v>
      </c>
      <c r="BK175" s="411"/>
      <c r="BL175" s="5" t="str">
        <f t="shared" si="610"/>
        <v>x25'u * Trend Ḟu - Iroda-ügyvitel 2025</v>
      </c>
      <c r="BM175" s="6" t="str">
        <f t="shared" si="611"/>
        <v>x25'g * Trend Ḟg - Iroda-ügyvitel 2025</v>
      </c>
      <c r="BN175" s="6" t="str">
        <f t="shared" si="612"/>
        <v>x25'd * Trend Ḟd - Iroda-ügyvitel 2025</v>
      </c>
      <c r="BO175" s="411"/>
    </row>
    <row r="176" spans="1:67" x14ac:dyDescent="0.35">
      <c r="B176" t="s">
        <v>8</v>
      </c>
      <c r="D176" s="367"/>
      <c r="E176" s="406"/>
      <c r="F176" s="407"/>
      <c r="G176" s="411"/>
      <c r="H176" s="367"/>
      <c r="I176" s="406"/>
      <c r="J176" s="407"/>
      <c r="K176" s="411"/>
      <c r="L176" s="367"/>
      <c r="M176" s="406"/>
      <c r="N176" s="407"/>
      <c r="O176" s="411"/>
      <c r="P176" s="367"/>
      <c r="Q176" s="406"/>
      <c r="R176" s="407"/>
      <c r="S176" s="411"/>
      <c r="T176" s="367"/>
      <c r="U176" s="406"/>
      <c r="V176" s="407"/>
      <c r="W176" s="411"/>
      <c r="X176" s="367"/>
      <c r="Y176" s="406"/>
      <c r="Z176" s="407"/>
      <c r="AA176" s="411"/>
      <c r="AB176" s="367"/>
      <c r="AC176" s="406"/>
      <c r="AD176" s="407"/>
      <c r="AE176" s="411"/>
      <c r="AF176" s="367"/>
      <c r="AG176" s="406"/>
      <c r="AH176" s="407"/>
      <c r="AI176" s="411"/>
      <c r="AJ176" s="367"/>
      <c r="AK176" s="406"/>
      <c r="AL176" s="407"/>
      <c r="AM176" s="411"/>
      <c r="AN176" s="367"/>
      <c r="AO176" s="406"/>
      <c r="AP176" s="407"/>
      <c r="AQ176" s="411"/>
      <c r="AR176" s="5" t="str">
        <f t="shared" si="595"/>
        <v>x20'u * Trend Ḟu - Ker-szolg 2020</v>
      </c>
      <c r="AS176" s="6" t="str">
        <f t="shared" si="596"/>
        <v>x20'g * Trend Ḟg - Ker-szolg 2020</v>
      </c>
      <c r="AT176" s="6" t="str">
        <f t="shared" si="597"/>
        <v>x20'd * Trend Ḟd - Ker-szolg 2020</v>
      </c>
      <c r="AU176" s="411"/>
      <c r="AV176" s="5" t="str">
        <f t="shared" si="598"/>
        <v>x21'u * Trend Ḟu - Ker-szolg 2021</v>
      </c>
      <c r="AW176" s="6" t="str">
        <f t="shared" si="599"/>
        <v>x21'g * Trend Ḟg - Ker-szolg 2021</v>
      </c>
      <c r="AX176" s="6" t="str">
        <f t="shared" si="600"/>
        <v>x21'd * Trend Ḟd - Ker-szolg 2021</v>
      </c>
      <c r="AY176" s="411"/>
      <c r="AZ176" s="5" t="str">
        <f t="shared" si="601"/>
        <v>x22'u * Trend Ḟu - Ker-szolg 2022</v>
      </c>
      <c r="BA176" s="6" t="str">
        <f t="shared" si="602"/>
        <v>x22'g * Trend Ḟg - Ker-szolg 2022</v>
      </c>
      <c r="BB176" s="6" t="str">
        <f t="shared" si="603"/>
        <v>x22'd * Trend Ḟd - Ker-szolg 2022</v>
      </c>
      <c r="BC176" s="411"/>
      <c r="BD176" s="5" t="str">
        <f t="shared" si="604"/>
        <v>x23'u * Trend Ḟu - Ker-szolg 2023</v>
      </c>
      <c r="BE176" s="6" t="str">
        <f t="shared" si="605"/>
        <v>x23'g * Trend Ḟg - Ker-szolg 2023</v>
      </c>
      <c r="BF176" s="6" t="str">
        <f t="shared" si="606"/>
        <v>x23'd * Trend Ḟd - Ker-szolg 2023</v>
      </c>
      <c r="BG176" s="411"/>
      <c r="BH176" s="5" t="str">
        <f t="shared" si="607"/>
        <v>x24'u * Trend Ḟu - Ker-szolg 2024</v>
      </c>
      <c r="BI176" s="6" t="str">
        <f t="shared" si="608"/>
        <v>x24'g * Trend Ḟg - Ker-szolg 2024</v>
      </c>
      <c r="BJ176" s="6" t="str">
        <f t="shared" si="609"/>
        <v>x24'd * Trend Ḟd - Ker-szolg 2024</v>
      </c>
      <c r="BK176" s="411"/>
      <c r="BL176" s="5" t="str">
        <f t="shared" si="610"/>
        <v>x25'u * Trend Ḟu - Ker-szolg 2025</v>
      </c>
      <c r="BM176" s="6" t="str">
        <f t="shared" si="611"/>
        <v>x25'g * Trend Ḟg - Ker-szolg 2025</v>
      </c>
      <c r="BN176" s="6" t="str">
        <f t="shared" si="612"/>
        <v>x25'd * Trend Ḟd - Ker-szolg 2025</v>
      </c>
      <c r="BO176" s="411"/>
    </row>
    <row r="177" spans="2:67" x14ac:dyDescent="0.35">
      <c r="B177" t="s">
        <v>9</v>
      </c>
      <c r="D177" s="367"/>
      <c r="E177" s="406"/>
      <c r="F177" s="407"/>
      <c r="G177" s="411"/>
      <c r="H177" s="367"/>
      <c r="I177" s="406"/>
      <c r="J177" s="407"/>
      <c r="K177" s="411"/>
      <c r="L177" s="367"/>
      <c r="M177" s="406"/>
      <c r="N177" s="407"/>
      <c r="O177" s="411"/>
      <c r="P177" s="367"/>
      <c r="Q177" s="406"/>
      <c r="R177" s="407"/>
      <c r="S177" s="411"/>
      <c r="T177" s="367"/>
      <c r="U177" s="406"/>
      <c r="V177" s="407"/>
      <c r="W177" s="411"/>
      <c r="X177" s="367"/>
      <c r="Y177" s="406"/>
      <c r="Z177" s="407"/>
      <c r="AA177" s="411"/>
      <c r="AB177" s="367"/>
      <c r="AC177" s="406"/>
      <c r="AD177" s="407"/>
      <c r="AE177" s="411"/>
      <c r="AF177" s="367"/>
      <c r="AG177" s="406"/>
      <c r="AH177" s="407"/>
      <c r="AI177" s="411"/>
      <c r="AJ177" s="367"/>
      <c r="AK177" s="406"/>
      <c r="AL177" s="407"/>
      <c r="AM177" s="411"/>
      <c r="AN177" s="367"/>
      <c r="AO177" s="406"/>
      <c r="AP177" s="407"/>
      <c r="AQ177" s="411"/>
      <c r="AR177" s="5" t="str">
        <f t="shared" si="595"/>
        <v>x20'u * Trend Ḟu - Mező-erdő 2020</v>
      </c>
      <c r="AS177" s="6" t="str">
        <f t="shared" si="596"/>
        <v>x20'g * Trend Ḟg - Mező-erdő 2020</v>
      </c>
      <c r="AT177" s="6" t="str">
        <f t="shared" si="597"/>
        <v>x20'd * Trend Ḟd - Mező-erdő 2020</v>
      </c>
      <c r="AU177" s="411"/>
      <c r="AV177" s="5" t="str">
        <f t="shared" si="598"/>
        <v>x21'u * Trend Ḟu - Mező-erdő 2021</v>
      </c>
      <c r="AW177" s="6" t="str">
        <f t="shared" si="599"/>
        <v>x21'g * Trend Ḟg - Mező-erdő 2021</v>
      </c>
      <c r="AX177" s="6" t="str">
        <f t="shared" si="600"/>
        <v>x21'd * Trend Ḟd - Mező-erdő 2021</v>
      </c>
      <c r="AY177" s="411"/>
      <c r="AZ177" s="5" t="str">
        <f t="shared" si="601"/>
        <v>x22'u * Trend Ḟu - Mező-erdő 2022</v>
      </c>
      <c r="BA177" s="6" t="str">
        <f t="shared" si="602"/>
        <v>x22'g * Trend Ḟg - Mező-erdő 2022</v>
      </c>
      <c r="BB177" s="6" t="str">
        <f t="shared" si="603"/>
        <v>x22'd * Trend Ḟd - Mező-erdő 2022</v>
      </c>
      <c r="BC177" s="411"/>
      <c r="BD177" s="5" t="str">
        <f t="shared" si="604"/>
        <v>x23'u * Trend Ḟu - Mező-erdő 2023</v>
      </c>
      <c r="BE177" s="6" t="str">
        <f t="shared" si="605"/>
        <v>x23'g * Trend Ḟg - Mező-erdő 2023</v>
      </c>
      <c r="BF177" s="6" t="str">
        <f t="shared" si="606"/>
        <v>x23'd * Trend Ḟd - Mező-erdő 2023</v>
      </c>
      <c r="BG177" s="411"/>
      <c r="BH177" s="5" t="str">
        <f t="shared" si="607"/>
        <v>x24'u * Trend Ḟu - Mező-erdő 2024</v>
      </c>
      <c r="BI177" s="6" t="str">
        <f t="shared" si="608"/>
        <v>x24'g * Trend Ḟg - Mező-erdő 2024</v>
      </c>
      <c r="BJ177" s="6" t="str">
        <f t="shared" si="609"/>
        <v>x24'd * Trend Ḟd - Mező-erdő 2024</v>
      </c>
      <c r="BK177" s="411"/>
      <c r="BL177" s="5" t="str">
        <f t="shared" si="610"/>
        <v>x25'u * Trend Ḟu - Mező-erdő 2025</v>
      </c>
      <c r="BM177" s="6" t="str">
        <f t="shared" si="611"/>
        <v>x25'g * Trend Ḟg - Mező-erdő 2025</v>
      </c>
      <c r="BN177" s="6" t="str">
        <f t="shared" si="612"/>
        <v>x25'd * Trend Ḟd - Mező-erdő 2025</v>
      </c>
      <c r="BO177" s="411"/>
    </row>
    <row r="178" spans="2:67" x14ac:dyDescent="0.35">
      <c r="B178" t="s">
        <v>10</v>
      </c>
      <c r="D178" s="367"/>
      <c r="E178" s="406"/>
      <c r="F178" s="407"/>
      <c r="G178" s="411"/>
      <c r="H178" s="367"/>
      <c r="I178" s="406"/>
      <c r="J178" s="407"/>
      <c r="K178" s="411"/>
      <c r="L178" s="367"/>
      <c r="M178" s="406"/>
      <c r="N178" s="407"/>
      <c r="O178" s="411"/>
      <c r="P178" s="367"/>
      <c r="Q178" s="406"/>
      <c r="R178" s="407"/>
      <c r="S178" s="411"/>
      <c r="T178" s="367"/>
      <c r="U178" s="406"/>
      <c r="V178" s="407"/>
      <c r="W178" s="411"/>
      <c r="X178" s="367"/>
      <c r="Y178" s="406"/>
      <c r="Z178" s="407"/>
      <c r="AA178" s="411"/>
      <c r="AB178" s="367"/>
      <c r="AC178" s="406"/>
      <c r="AD178" s="407"/>
      <c r="AE178" s="411"/>
      <c r="AF178" s="367"/>
      <c r="AG178" s="406"/>
      <c r="AH178" s="407"/>
      <c r="AI178" s="411"/>
      <c r="AJ178" s="367"/>
      <c r="AK178" s="406"/>
      <c r="AL178" s="407"/>
      <c r="AM178" s="411"/>
      <c r="AN178" s="367"/>
      <c r="AO178" s="406"/>
      <c r="AP178" s="407"/>
      <c r="AQ178" s="411"/>
      <c r="AR178" s="5" t="str">
        <f t="shared" si="595"/>
        <v>x20'u * Trend Ḟu - ipar-épip. 2020</v>
      </c>
      <c r="AS178" s="6" t="str">
        <f t="shared" si="596"/>
        <v>x20'g * Trend Ḟg - ipar-épip. 2020</v>
      </c>
      <c r="AT178" s="6" t="str">
        <f t="shared" si="597"/>
        <v>x20'd * Trend Ḟd - ipar-épip. 2020</v>
      </c>
      <c r="AU178" s="411"/>
      <c r="AV178" s="5" t="str">
        <f t="shared" si="598"/>
        <v>x21'u * Trend Ḟu - ipar-épip. 2021</v>
      </c>
      <c r="AW178" s="6" t="str">
        <f t="shared" si="599"/>
        <v>x21'g * Trend Ḟg - ipar-épip. 2021</v>
      </c>
      <c r="AX178" s="6" t="str">
        <f t="shared" si="600"/>
        <v>x21'd * Trend Ḟd - ipar-épip. 2021</v>
      </c>
      <c r="AY178" s="411"/>
      <c r="AZ178" s="5" t="str">
        <f t="shared" si="601"/>
        <v>x22'u * Trend Ḟu - ipar-épip. 2022</v>
      </c>
      <c r="BA178" s="6" t="str">
        <f t="shared" si="602"/>
        <v>x22'g * Trend Ḟg - ipar-épip. 2022</v>
      </c>
      <c r="BB178" s="6" t="str">
        <f t="shared" si="603"/>
        <v>x22'd * Trend Ḟd - ipar-épip. 2022</v>
      </c>
      <c r="BC178" s="411"/>
      <c r="BD178" s="5" t="str">
        <f t="shared" si="604"/>
        <v>x23'u * Trend Ḟu - ipar-épip. 2023</v>
      </c>
      <c r="BE178" s="6" t="str">
        <f t="shared" si="605"/>
        <v>x23'g * Trend Ḟg - ipar-épip. 2023</v>
      </c>
      <c r="BF178" s="6" t="str">
        <f t="shared" si="606"/>
        <v>x23'd * Trend Ḟd - ipar-épip. 2023</v>
      </c>
      <c r="BG178" s="411"/>
      <c r="BH178" s="5" t="str">
        <f t="shared" si="607"/>
        <v>x24'u * Trend Ḟu - ipar-épip. 2024</v>
      </c>
      <c r="BI178" s="6" t="str">
        <f t="shared" si="608"/>
        <v>x24'g * Trend Ḟg - ipar-épip. 2024</v>
      </c>
      <c r="BJ178" s="6" t="str">
        <f t="shared" si="609"/>
        <v>x24'd * Trend Ḟd - ipar-épip. 2024</v>
      </c>
      <c r="BK178" s="411"/>
      <c r="BL178" s="5" t="str">
        <f t="shared" si="610"/>
        <v>x25'u * Trend Ḟu - ipar-épip. 2025</v>
      </c>
      <c r="BM178" s="6" t="str">
        <f t="shared" si="611"/>
        <v>x25'g * Trend Ḟg - ipar-épip. 2025</v>
      </c>
      <c r="BN178" s="6" t="str">
        <f t="shared" si="612"/>
        <v>x25'd * Trend Ḟd - ipar-épip. 2025</v>
      </c>
      <c r="BO178" s="411"/>
    </row>
    <row r="179" spans="2:67" x14ac:dyDescent="0.35">
      <c r="B179" t="s">
        <v>11</v>
      </c>
      <c r="D179" s="367"/>
      <c r="E179" s="406"/>
      <c r="F179" s="407"/>
      <c r="G179" s="411"/>
      <c r="H179" s="367"/>
      <c r="I179" s="406"/>
      <c r="J179" s="407"/>
      <c r="K179" s="411"/>
      <c r="L179" s="367"/>
      <c r="M179" s="406"/>
      <c r="N179" s="407"/>
      <c r="O179" s="411"/>
      <c r="P179" s="367"/>
      <c r="Q179" s="406"/>
      <c r="R179" s="407"/>
      <c r="S179" s="411"/>
      <c r="T179" s="367"/>
      <c r="U179" s="406"/>
      <c r="V179" s="407"/>
      <c r="W179" s="411"/>
      <c r="X179" s="367"/>
      <c r="Y179" s="406"/>
      <c r="Z179" s="407"/>
      <c r="AA179" s="411"/>
      <c r="AB179" s="367"/>
      <c r="AC179" s="406"/>
      <c r="AD179" s="407"/>
      <c r="AE179" s="411"/>
      <c r="AF179" s="367"/>
      <c r="AG179" s="406"/>
      <c r="AH179" s="407"/>
      <c r="AI179" s="411"/>
      <c r="AJ179" s="367"/>
      <c r="AK179" s="406"/>
      <c r="AL179" s="407"/>
      <c r="AM179" s="411"/>
      <c r="AN179" s="367"/>
      <c r="AO179" s="406"/>
      <c r="AP179" s="407"/>
      <c r="AQ179" s="411"/>
      <c r="AR179" s="5" t="str">
        <f t="shared" si="595"/>
        <v>x20'u * Trend Ḟu - Összeszerelők 2020</v>
      </c>
      <c r="AS179" s="6" t="str">
        <f t="shared" si="596"/>
        <v>x20'g * Trend Ḟg - Összeszerelők 2020</v>
      </c>
      <c r="AT179" s="6" t="str">
        <f t="shared" si="597"/>
        <v>x20'd * Trend Ḟd - Összeszerelők 2020</v>
      </c>
      <c r="AU179" s="411"/>
      <c r="AV179" s="5" t="str">
        <f t="shared" si="598"/>
        <v>x21'u * Trend Ḟu - Összeszerelők 2021</v>
      </c>
      <c r="AW179" s="6" t="str">
        <f t="shared" si="599"/>
        <v>x21'g * Trend Ḟg - Összeszerelők 2021</v>
      </c>
      <c r="AX179" s="6" t="str">
        <f t="shared" si="600"/>
        <v>x21'd * Trend Ḟd - Összeszerelők 2021</v>
      </c>
      <c r="AY179" s="411"/>
      <c r="AZ179" s="5" t="str">
        <f t="shared" si="601"/>
        <v>x22'u * Trend Ḟu - Összeszerelők 2022</v>
      </c>
      <c r="BA179" s="6" t="str">
        <f t="shared" si="602"/>
        <v>x22'g * Trend Ḟg - Összeszerelők 2022</v>
      </c>
      <c r="BB179" s="6" t="str">
        <f t="shared" si="603"/>
        <v>x22'd * Trend Ḟd - Összeszerelők 2022</v>
      </c>
      <c r="BC179" s="411"/>
      <c r="BD179" s="5" t="str">
        <f t="shared" si="604"/>
        <v>x23'u * Trend Ḟu - Összeszerelők 2023</v>
      </c>
      <c r="BE179" s="6" t="str">
        <f t="shared" si="605"/>
        <v>x23'g * Trend Ḟg - Összeszerelők 2023</v>
      </c>
      <c r="BF179" s="6" t="str">
        <f t="shared" si="606"/>
        <v>x23'd * Trend Ḟd - Összeszerelők 2023</v>
      </c>
      <c r="BG179" s="411"/>
      <c r="BH179" s="5" t="str">
        <f t="shared" si="607"/>
        <v>x24'u * Trend Ḟu - Összeszerelők 2024</v>
      </c>
      <c r="BI179" s="6" t="str">
        <f t="shared" si="608"/>
        <v>x24'g * Trend Ḟg - Összeszerelők 2024</v>
      </c>
      <c r="BJ179" s="6" t="str">
        <f t="shared" si="609"/>
        <v>x24'd * Trend Ḟd - Összeszerelők 2024</v>
      </c>
      <c r="BK179" s="411"/>
      <c r="BL179" s="5" t="str">
        <f t="shared" si="610"/>
        <v>x25'u * Trend Ḟu - Összeszerelők 2025</v>
      </c>
      <c r="BM179" s="6" t="str">
        <f t="shared" si="611"/>
        <v>x25'g * Trend Ḟg - Összeszerelők 2025</v>
      </c>
      <c r="BN179" s="6" t="str">
        <f t="shared" si="612"/>
        <v>x25'd * Trend Ḟd - Összeszerelők 2025</v>
      </c>
      <c r="BO179" s="411"/>
    </row>
    <row r="180" spans="2:67" x14ac:dyDescent="0.35">
      <c r="B180" t="s">
        <v>12</v>
      </c>
      <c r="D180" s="408"/>
      <c r="E180" s="409"/>
      <c r="F180" s="410"/>
      <c r="G180" s="412"/>
      <c r="H180" s="408"/>
      <c r="I180" s="409"/>
      <c r="J180" s="410"/>
      <c r="K180" s="412"/>
      <c r="L180" s="408"/>
      <c r="M180" s="409"/>
      <c r="N180" s="410"/>
      <c r="O180" s="412"/>
      <c r="P180" s="408"/>
      <c r="Q180" s="409"/>
      <c r="R180" s="410"/>
      <c r="S180" s="412"/>
      <c r="T180" s="408"/>
      <c r="U180" s="409"/>
      <c r="V180" s="410"/>
      <c r="W180" s="412"/>
      <c r="X180" s="408"/>
      <c r="Y180" s="409"/>
      <c r="Z180" s="410"/>
      <c r="AA180" s="412"/>
      <c r="AB180" s="408"/>
      <c r="AC180" s="409"/>
      <c r="AD180" s="410"/>
      <c r="AE180" s="412"/>
      <c r="AF180" s="408"/>
      <c r="AG180" s="409"/>
      <c r="AH180" s="410"/>
      <c r="AI180" s="412"/>
      <c r="AJ180" s="408"/>
      <c r="AK180" s="409"/>
      <c r="AL180" s="410"/>
      <c r="AM180" s="412"/>
      <c r="AN180" s="408"/>
      <c r="AO180" s="409"/>
      <c r="AP180" s="410"/>
      <c r="AQ180" s="412"/>
      <c r="AR180" s="5" t="str">
        <f t="shared" si="595"/>
        <v>x20'u * Trend Ḟu - szakképzetlen 2020</v>
      </c>
      <c r="AS180" s="6" t="str">
        <f t="shared" si="596"/>
        <v>x20'g * Trend Ḟg - szakképzetlen 2020</v>
      </c>
      <c r="AT180" s="6" t="str">
        <f t="shared" si="597"/>
        <v>x20'd * Trend Ḟd - szakképzetlen 2020</v>
      </c>
      <c r="AU180" s="412"/>
      <c r="AV180" s="5" t="str">
        <f t="shared" si="598"/>
        <v>x21'u * Trend Ḟu - szakképzetlen 2021</v>
      </c>
      <c r="AW180" s="6" t="str">
        <f t="shared" si="599"/>
        <v>x21'g * Trend Ḟg - szakképzetlen 2021</v>
      </c>
      <c r="AX180" s="6" t="str">
        <f t="shared" si="600"/>
        <v>x21'd * Trend Ḟd - szakképzetlen 2021</v>
      </c>
      <c r="AY180" s="412"/>
      <c r="AZ180" s="5" t="str">
        <f t="shared" si="601"/>
        <v>x22'u * Trend Ḟu - szakképzetlen 2022</v>
      </c>
      <c r="BA180" s="6" t="str">
        <f t="shared" si="602"/>
        <v>x22'g * Trend Ḟg - szakképzetlen 2022</v>
      </c>
      <c r="BB180" s="6" t="str">
        <f t="shared" si="603"/>
        <v>x22'd * Trend Ḟd - szakképzetlen 2022</v>
      </c>
      <c r="BC180" s="412"/>
      <c r="BD180" s="5" t="str">
        <f t="shared" si="604"/>
        <v>x23'u * Trend Ḟu - szakképzetlen 2023</v>
      </c>
      <c r="BE180" s="6" t="str">
        <f t="shared" si="605"/>
        <v>x23'g * Trend Ḟg - szakképzetlen 2023</v>
      </c>
      <c r="BF180" s="6" t="str">
        <f t="shared" si="606"/>
        <v>x23'd * Trend Ḟd - szakképzetlen 2023</v>
      </c>
      <c r="BG180" s="412"/>
      <c r="BH180" s="5" t="str">
        <f t="shared" si="607"/>
        <v>x24'u * Trend Ḟu - szakképzetlen 2024</v>
      </c>
      <c r="BI180" s="6" t="str">
        <f t="shared" si="608"/>
        <v>x24'g * Trend Ḟg - szakképzetlen 2024</v>
      </c>
      <c r="BJ180" s="6" t="str">
        <f t="shared" si="609"/>
        <v>x24'd * Trend Ḟd - szakképzetlen 2024</v>
      </c>
      <c r="BK180" s="412"/>
      <c r="BL180" s="5" t="str">
        <f t="shared" si="610"/>
        <v>x25'u * Trend Ḟu - szakképzetlen 2025</v>
      </c>
      <c r="BM180" s="6" t="str">
        <f t="shared" si="611"/>
        <v>x25'g * Trend Ḟg - szakképzetlen 2025</v>
      </c>
      <c r="BN180" s="6" t="str">
        <f t="shared" si="612"/>
        <v>x25'd * Trend Ḟd - szakképzetlen 2025</v>
      </c>
      <c r="BO180" s="412"/>
    </row>
    <row r="181" spans="2:67" ht="72.5" x14ac:dyDescent="0.35">
      <c r="B181" t="s">
        <v>21</v>
      </c>
      <c r="D181" s="403" t="s">
        <v>119</v>
      </c>
      <c r="E181" s="404"/>
      <c r="F181" s="405"/>
      <c r="G181" s="139" t="s">
        <v>121</v>
      </c>
      <c r="H181" s="403" t="s">
        <v>678</v>
      </c>
      <c r="I181" s="404"/>
      <c r="J181" s="405"/>
      <c r="K181" s="139" t="s">
        <v>679</v>
      </c>
      <c r="L181" s="403" t="s">
        <v>684</v>
      </c>
      <c r="M181" s="404"/>
      <c r="N181" s="405"/>
      <c r="O181" s="139" t="s">
        <v>685</v>
      </c>
      <c r="P181" s="403" t="s">
        <v>690</v>
      </c>
      <c r="Q181" s="404"/>
      <c r="R181" s="405"/>
      <c r="S181" s="139" t="s">
        <v>691</v>
      </c>
      <c r="T181" s="403" t="s">
        <v>696</v>
      </c>
      <c r="U181" s="404"/>
      <c r="V181" s="405"/>
      <c r="W181" s="139" t="s">
        <v>697</v>
      </c>
      <c r="X181" s="403" t="s">
        <v>119</v>
      </c>
      <c r="Y181" s="404"/>
      <c r="Z181" s="405"/>
      <c r="AA181" s="139" t="s">
        <v>121</v>
      </c>
      <c r="AB181" s="403" t="s">
        <v>702</v>
      </c>
      <c r="AC181" s="404"/>
      <c r="AD181" s="405"/>
      <c r="AE181" s="139" t="s">
        <v>703</v>
      </c>
      <c r="AF181" s="403" t="s">
        <v>708</v>
      </c>
      <c r="AG181" s="404"/>
      <c r="AH181" s="405"/>
      <c r="AI181" s="139" t="s">
        <v>709</v>
      </c>
      <c r="AJ181" s="403" t="s">
        <v>714</v>
      </c>
      <c r="AK181" s="404"/>
      <c r="AL181" s="405"/>
      <c r="AM181" s="139" t="s">
        <v>715</v>
      </c>
      <c r="AN181" s="403" t="s">
        <v>720</v>
      </c>
      <c r="AO181" s="404"/>
      <c r="AP181" s="405"/>
      <c r="AQ181" s="139" t="s">
        <v>721</v>
      </c>
      <c r="AR181" s="104" t="str">
        <f>CONCATENATE("SZUM( ",AR197,"u * ","Trend Ḟu Fegyveresek … Szakképzetlen) ",AR195)</f>
        <v>SZUM( x20'u * Trend Ḟu Fegyveresek … Szakképzetlen) 2020</v>
      </c>
      <c r="AS181" s="103" t="str">
        <f>CONCATENATE("SZUM( ",AS197,"g * ","Trend Ḟu Fegyveresek … Szakképzetlen) ",AR195)</f>
        <v>SZUM( g * Trend Ḟu Fegyveresek … Szakképzetlen) 2020</v>
      </c>
      <c r="AT181" s="103" t="str">
        <f>CONCATENATE("SZUM( ",AT197,"d * ","Trend Ḟu Fegyveresek … Szakképzetlen) ",AR195)</f>
        <v>SZUM( d * Trend Ḟu Fegyveresek … Szakképzetlen) 2020</v>
      </c>
      <c r="AU181" s="82" t="s">
        <v>879</v>
      </c>
      <c r="AV181" s="104" t="str">
        <f>CONCATENATE("SZUM( ",AV197,"u * ","Trend Ḟu Fegyveresek … Szakképzetlen) ",AV195)</f>
        <v>SZUM( x21'u * Trend Ḟu Fegyveresek … Szakképzetlen) 2021</v>
      </c>
      <c r="AW181" s="103" t="str">
        <f>CONCATENATE("SZUM( ",AW197,"g * ","Trend Ḟu Fegyveresek … Szakképzetlen) ",AV195)</f>
        <v>SZUM( g * Trend Ḟu Fegyveresek … Szakképzetlen) 2021</v>
      </c>
      <c r="AX181" s="103" t="str">
        <f>CONCATENATE("SZUM( ",AX197,"d * ","Trend Ḟu Fegyveresek … Szakképzetlen) ",AV195)</f>
        <v>SZUM( d * Trend Ḟu Fegyveresek … Szakképzetlen) 2021</v>
      </c>
      <c r="AY181" s="82" t="s">
        <v>899</v>
      </c>
      <c r="AZ181" s="104" t="str">
        <f>CONCATENATE("SZUM( ",AZ197,"u * ","Trend Ḟu Fegyveresek … Szakképzetlen) ",AZ195)</f>
        <v>SZUM( x22'u * Trend Ḟu Fegyveresek … Szakképzetlen) 2022</v>
      </c>
      <c r="BA181" s="103" t="str">
        <f>CONCATENATE("SZUM( ",BA197,"g * ","Trend Ḟu Fegyveresek … Szakképzetlen) ",AZ195)</f>
        <v>SZUM( g * Trend Ḟu Fegyveresek … Szakképzetlen) 2022</v>
      </c>
      <c r="BB181" s="103" t="str">
        <f>CONCATENATE("SZUM( ",BB197,"d * ","Trend Ḟu Fegyveresek … Szakképzetlen) ",AZ195)</f>
        <v>SZUM( d * Trend Ḟu Fegyveresek … Szakképzetlen) 2022</v>
      </c>
      <c r="BC181" s="82" t="s">
        <v>907</v>
      </c>
      <c r="BD181" s="104" t="str">
        <f>CONCATENATE("SZUM( ",BD197,"u * ","Trend Ḟu Fegyveresek … Szakképzetlen) ",BD195)</f>
        <v>SZUM( x23'u * Trend Ḟu Fegyveresek … Szakképzetlen) 2023</v>
      </c>
      <c r="BE181" s="103" t="str">
        <f>CONCATENATE("SZUM( ",BE197,"g * ","Trend Ḟu Fegyveresek … Szakképzetlen) ",BD195)</f>
        <v>SZUM( g * Trend Ḟu Fegyveresek … Szakképzetlen) 2023</v>
      </c>
      <c r="BF181" s="103" t="str">
        <f>CONCATENATE("SZUM( ",BF197,"d * ","Trend Ḟu Fegyveresek … Szakképzetlen) ",BD195)</f>
        <v>SZUM( d * Trend Ḟu Fegyveresek … Szakképzetlen) 2023</v>
      </c>
      <c r="BG181" s="82" t="s">
        <v>915</v>
      </c>
      <c r="BH181" s="104" t="str">
        <f>CONCATENATE("SZUM( ",BH197,"u * ","Trend Ḟu Fegyveresek … Szakképzetlen) ",BH195)</f>
        <v>SZUM( x24'u * Trend Ḟu Fegyveresek … Szakképzetlen) 2024</v>
      </c>
      <c r="BI181" s="103" t="str">
        <f>CONCATENATE("SZUM( ",BI197,"g * ","Trend Ḟu Fegyveresek … Szakképzetlen) ",BH195)</f>
        <v>SZUM( g * Trend Ḟu Fegyveresek … Szakképzetlen) 2024</v>
      </c>
      <c r="BJ181" s="103" t="str">
        <f>CONCATENATE("SZUM( ",BJ197,"d * ","Trend Ḟu Fegyveresek … Szakképzetlen) ",BH195)</f>
        <v>SZUM( d * Trend Ḟu Fegyveresek … Szakképzetlen) 2024</v>
      </c>
      <c r="BK181" s="82" t="s">
        <v>923</v>
      </c>
      <c r="BL181" s="104" t="str">
        <f>CONCATENATE("SZUM( ",BL197,"u * ","Trend Ḟu Fegyveresek … Szakképzetlen) ",BL195)</f>
        <v>SZUM( x25'u * Trend Ḟu Fegyveresek … Szakképzetlen) 2025</v>
      </c>
      <c r="BM181" s="103" t="str">
        <f>CONCATENATE("SZUM( ",BM197,"g * ","Trend Ḟu Fegyveresek … Szakképzetlen) ",BL195)</f>
        <v>SZUM( g * Trend Ḟu Fegyveresek … Szakképzetlen) 2025</v>
      </c>
      <c r="BN181" s="103" t="str">
        <f>CONCATENATE("SZUM( ",BN197,"d * ","Trend Ḟu Fegyveresek … Szakképzetlen) ",BL195)</f>
        <v>SZUM( d * Trend Ḟu Fegyveresek … Szakképzetlen) 2025</v>
      </c>
      <c r="BO181" s="82" t="s">
        <v>931</v>
      </c>
    </row>
    <row r="182" spans="2:67" x14ac:dyDescent="0.35">
      <c r="D182" s="10"/>
      <c r="E182" s="11"/>
      <c r="F182" s="9"/>
      <c r="G182" s="11"/>
      <c r="H182" s="10"/>
      <c r="I182" s="11"/>
      <c r="J182" s="9"/>
      <c r="K182" s="11"/>
      <c r="L182" s="10"/>
      <c r="M182" s="11"/>
      <c r="N182" s="9"/>
      <c r="O182" s="11"/>
      <c r="P182" s="10"/>
      <c r="Q182" s="11"/>
      <c r="R182" s="9"/>
      <c r="S182" s="11"/>
      <c r="T182" s="10"/>
      <c r="U182" s="11"/>
      <c r="V182" s="9"/>
      <c r="W182" s="11"/>
      <c r="X182" s="10"/>
      <c r="Y182" s="11"/>
      <c r="Z182" s="9"/>
      <c r="AA182" s="11"/>
      <c r="AB182" s="10"/>
      <c r="AC182" s="11"/>
      <c r="AD182" s="9"/>
      <c r="AE182" s="11"/>
      <c r="AF182" s="10"/>
      <c r="AG182" s="11"/>
      <c r="AH182" s="9"/>
      <c r="AI182" s="11"/>
      <c r="AJ182" s="10"/>
      <c r="AK182" s="11"/>
      <c r="AL182" s="9"/>
      <c r="AM182" s="11"/>
      <c r="AN182" s="10"/>
      <c r="AO182" s="11"/>
      <c r="AP182" s="9"/>
      <c r="AQ182" s="11"/>
      <c r="AR182" s="400" t="s">
        <v>887</v>
      </c>
      <c r="AS182" s="401"/>
      <c r="AT182" s="402"/>
      <c r="AU182" s="11"/>
      <c r="AV182" s="400" t="s">
        <v>897</v>
      </c>
      <c r="AW182" s="401"/>
      <c r="AX182" s="402"/>
      <c r="AY182" s="11"/>
      <c r="AZ182" s="400" t="s">
        <v>896</v>
      </c>
      <c r="BA182" s="401"/>
      <c r="BB182" s="402"/>
      <c r="BC182" s="11"/>
      <c r="BD182" s="400" t="s">
        <v>895</v>
      </c>
      <c r="BE182" s="401"/>
      <c r="BF182" s="402"/>
      <c r="BG182" s="11"/>
      <c r="BH182" s="400" t="s">
        <v>894</v>
      </c>
      <c r="BI182" s="401"/>
      <c r="BJ182" s="402"/>
      <c r="BK182" s="11"/>
      <c r="BL182" s="400" t="s">
        <v>893</v>
      </c>
      <c r="BM182" s="401"/>
      <c r="BN182" s="402"/>
      <c r="BO182" s="11"/>
    </row>
    <row r="183" spans="2:67" x14ac:dyDescent="0.35">
      <c r="B183" t="s">
        <v>13</v>
      </c>
      <c r="D183" s="367" t="s">
        <v>116</v>
      </c>
      <c r="E183" s="406"/>
      <c r="F183" s="407"/>
      <c r="G183" s="411" t="s">
        <v>118</v>
      </c>
      <c r="H183" s="367" t="s">
        <v>324</v>
      </c>
      <c r="I183" s="406"/>
      <c r="J183" s="407"/>
      <c r="K183" s="411" t="s">
        <v>680</v>
      </c>
      <c r="L183" s="367" t="s">
        <v>327</v>
      </c>
      <c r="M183" s="406"/>
      <c r="N183" s="407"/>
      <c r="O183" s="411" t="s">
        <v>686</v>
      </c>
      <c r="P183" s="367" t="s">
        <v>330</v>
      </c>
      <c r="Q183" s="406"/>
      <c r="R183" s="407"/>
      <c r="S183" s="411" t="s">
        <v>692</v>
      </c>
      <c r="T183" s="367" t="s">
        <v>333</v>
      </c>
      <c r="U183" s="406"/>
      <c r="V183" s="407"/>
      <c r="W183" s="411" t="s">
        <v>698</v>
      </c>
      <c r="X183" s="367" t="s">
        <v>116</v>
      </c>
      <c r="Y183" s="406"/>
      <c r="Z183" s="407"/>
      <c r="AA183" s="411" t="s">
        <v>118</v>
      </c>
      <c r="AB183" s="367" t="s">
        <v>370</v>
      </c>
      <c r="AC183" s="406"/>
      <c r="AD183" s="407"/>
      <c r="AE183" s="411" t="s">
        <v>704</v>
      </c>
      <c r="AF183" s="367" t="s">
        <v>404</v>
      </c>
      <c r="AG183" s="406"/>
      <c r="AH183" s="407"/>
      <c r="AI183" s="411" t="s">
        <v>710</v>
      </c>
      <c r="AJ183" s="367" t="s">
        <v>430</v>
      </c>
      <c r="AK183" s="406"/>
      <c r="AL183" s="407"/>
      <c r="AM183" s="411" t="s">
        <v>716</v>
      </c>
      <c r="AN183" s="367" t="s">
        <v>464</v>
      </c>
      <c r="AO183" s="406"/>
      <c r="AP183" s="407"/>
      <c r="AQ183" s="411" t="s">
        <v>722</v>
      </c>
      <c r="AR183" s="5" t="str">
        <f t="shared" ref="AR183:AR189" si="613">CONCATENATE(AR$197,"u * ",AR215)</f>
        <v>x20'u * Trend Ėu - 0-7 osztály 2020</v>
      </c>
      <c r="AS183" s="6" t="str">
        <f t="shared" ref="AS183:AS189" si="614">CONCATENATE(AR$197,"g * ",AS215)</f>
        <v>x20'g * Trend Ėg - 0-7 osztály 2020</v>
      </c>
      <c r="AT183" s="6" t="str">
        <f t="shared" ref="AT183:AT189" si="615">CONCATENATE(AR$197,"d * ",AT215)</f>
        <v>x20'd * Trend Ėd - 0-7 osztály 2020</v>
      </c>
      <c r="AU183" s="411" t="s">
        <v>880</v>
      </c>
      <c r="AV183" s="5" t="str">
        <f t="shared" ref="AV183:AV189" si="616">CONCATENATE(AV$197,"u * ",AV215)</f>
        <v>x21'u * Trend Ėu - 0-7 osztály 2021</v>
      </c>
      <c r="AW183" s="6" t="str">
        <f t="shared" ref="AW183:AW189" si="617">CONCATENATE(AV$197,"g * ",AW215)</f>
        <v>x21'g * Trend Ėg - 0-7 osztály 2021</v>
      </c>
      <c r="AX183" s="6" t="str">
        <f t="shared" ref="AX183:AX189" si="618">CONCATENATE(AV$197,"d * ",AX215)</f>
        <v>x21'd * Trend Ėd - 0-7 osztály 2021</v>
      </c>
      <c r="AY183" s="411" t="s">
        <v>900</v>
      </c>
      <c r="AZ183" s="5" t="str">
        <f t="shared" ref="AZ183:AZ189" si="619">CONCATENATE(AZ$197,"u * ",AZ215)</f>
        <v>x22'u * Trend Ėu - 0-7 osztály 2022</v>
      </c>
      <c r="BA183" s="6" t="str">
        <f t="shared" ref="BA183:BA189" si="620">CONCATENATE(AZ$197,"g * ",BA215)</f>
        <v>x22'g * Trend Ėg - 0-7 osztály 2022</v>
      </c>
      <c r="BB183" s="6" t="str">
        <f t="shared" ref="BB183:BB189" si="621">CONCATENATE(AZ$197,"d * ",BB215)</f>
        <v>x22'd * Trend Ėd - 0-7 osztály 2022</v>
      </c>
      <c r="BC183" s="411" t="s">
        <v>908</v>
      </c>
      <c r="BD183" s="5" t="str">
        <f t="shared" ref="BD183:BD189" si="622">CONCATENATE(BD$197,"u * ",BD215)</f>
        <v>x23'u * Trend Ėu - 0-7 osztály 2023</v>
      </c>
      <c r="BE183" s="6" t="str">
        <f t="shared" ref="BE183:BE189" si="623">CONCATENATE(BD$197,"g * ",BE215)</f>
        <v>x23'g * Trend Ėg - 0-7 osztály 2023</v>
      </c>
      <c r="BF183" s="6" t="str">
        <f t="shared" ref="BF183:BF189" si="624">CONCATENATE(BD$197,"d * ",BF215)</f>
        <v>x23'd * Trend Ėd - 0-7 osztály 2023</v>
      </c>
      <c r="BG183" s="411" t="s">
        <v>916</v>
      </c>
      <c r="BH183" s="5" t="str">
        <f t="shared" ref="BH183:BH189" si="625">CONCATENATE(BH$197,"u * ",BH215)</f>
        <v>x24'u * Trend Ėu - 0-7 osztály 2024</v>
      </c>
      <c r="BI183" s="6" t="str">
        <f t="shared" ref="BI183:BI189" si="626">CONCATENATE(BH$197,"g * ",BI215)</f>
        <v>x24'g * Trend Ėg - 0-7 osztály 2024</v>
      </c>
      <c r="BJ183" s="6" t="str">
        <f t="shared" ref="BJ183:BJ189" si="627">CONCATENATE(BH$197,"d * ",BJ215)</f>
        <v>x24'd * Trend Ėd - 0-7 osztály 2024</v>
      </c>
      <c r="BK183" s="411" t="s">
        <v>924</v>
      </c>
      <c r="BL183" s="5" t="str">
        <f t="shared" ref="BL183:BL189" si="628">CONCATENATE(BL$197,"u * ",BL215)</f>
        <v>x25'u * Trend Ėu - 0-7 osztály 2025</v>
      </c>
      <c r="BM183" s="6" t="str">
        <f t="shared" ref="BM183:BM189" si="629">CONCATENATE(BL$197,"g * ",BM215)</f>
        <v>x25'g * Trend Ėg - 0-7 osztály 2025</v>
      </c>
      <c r="BN183" s="6" t="str">
        <f t="shared" ref="BN183:BN189" si="630">CONCATENATE(BL$197,"d * ",BN215)</f>
        <v>x25'd * Trend Ėd - 0-7 osztály 2025</v>
      </c>
      <c r="BO183" s="411" t="s">
        <v>932</v>
      </c>
    </row>
    <row r="184" spans="2:67" x14ac:dyDescent="0.35">
      <c r="B184" t="s">
        <v>14</v>
      </c>
      <c r="D184" s="367"/>
      <c r="E184" s="406"/>
      <c r="F184" s="407"/>
      <c r="G184" s="411"/>
      <c r="H184" s="367"/>
      <c r="I184" s="406"/>
      <c r="J184" s="407"/>
      <c r="K184" s="411"/>
      <c r="L184" s="367"/>
      <c r="M184" s="406"/>
      <c r="N184" s="407"/>
      <c r="O184" s="411"/>
      <c r="P184" s="367"/>
      <c r="Q184" s="406"/>
      <c r="R184" s="407"/>
      <c r="S184" s="411"/>
      <c r="T184" s="367"/>
      <c r="U184" s="406"/>
      <c r="V184" s="407"/>
      <c r="W184" s="411"/>
      <c r="X184" s="367"/>
      <c r="Y184" s="406"/>
      <c r="Z184" s="407"/>
      <c r="AA184" s="411"/>
      <c r="AB184" s="367"/>
      <c r="AC184" s="406"/>
      <c r="AD184" s="407"/>
      <c r="AE184" s="411"/>
      <c r="AF184" s="367"/>
      <c r="AG184" s="406"/>
      <c r="AH184" s="407"/>
      <c r="AI184" s="411"/>
      <c r="AJ184" s="367"/>
      <c r="AK184" s="406"/>
      <c r="AL184" s="407"/>
      <c r="AM184" s="411"/>
      <c r="AN184" s="367"/>
      <c r="AO184" s="406"/>
      <c r="AP184" s="407"/>
      <c r="AQ184" s="411"/>
      <c r="AR184" s="5" t="str">
        <f t="shared" si="613"/>
        <v>x20'u * Trend Ėu - 8 osztály 2020</v>
      </c>
      <c r="AS184" s="6" t="str">
        <f t="shared" si="614"/>
        <v>x20'g * Trend Ėg - 8 osztály 2020</v>
      </c>
      <c r="AT184" s="6" t="str">
        <f t="shared" si="615"/>
        <v>x20'd * Trend Ėd - 8 osztály 2020</v>
      </c>
      <c r="AU184" s="411"/>
      <c r="AV184" s="5" t="str">
        <f t="shared" si="616"/>
        <v>x21'u * Trend Ėu - 8 osztály 2021</v>
      </c>
      <c r="AW184" s="6" t="str">
        <f t="shared" si="617"/>
        <v>x21'g * Trend Ėg - 8 osztály 2021</v>
      </c>
      <c r="AX184" s="6" t="str">
        <f t="shared" si="618"/>
        <v>x21'd * Trend Ėd - 8 osztály 2021</v>
      </c>
      <c r="AY184" s="411"/>
      <c r="AZ184" s="5" t="str">
        <f t="shared" si="619"/>
        <v>x22'u * Trend Ėu - 8 osztály 2022</v>
      </c>
      <c r="BA184" s="6" t="str">
        <f t="shared" si="620"/>
        <v>x22'g * Trend Ėg - 8 osztály 2022</v>
      </c>
      <c r="BB184" s="6" t="str">
        <f t="shared" si="621"/>
        <v>x22'd * Trend Ėd - 8 osztály 2022</v>
      </c>
      <c r="BC184" s="411"/>
      <c r="BD184" s="5" t="str">
        <f t="shared" si="622"/>
        <v>x23'u * Trend Ėu - 8 osztály 2023</v>
      </c>
      <c r="BE184" s="6" t="str">
        <f t="shared" si="623"/>
        <v>x23'g * Trend Ėg - 8 osztály 2023</v>
      </c>
      <c r="BF184" s="6" t="str">
        <f t="shared" si="624"/>
        <v>x23'd * Trend Ėd - 8 osztály 2023</v>
      </c>
      <c r="BG184" s="411"/>
      <c r="BH184" s="5" t="str">
        <f t="shared" si="625"/>
        <v>x24'u * Trend Ėu - 8 osztály 2024</v>
      </c>
      <c r="BI184" s="6" t="str">
        <f t="shared" si="626"/>
        <v>x24'g * Trend Ėg - 8 osztály 2024</v>
      </c>
      <c r="BJ184" s="6" t="str">
        <f t="shared" si="627"/>
        <v>x24'd * Trend Ėd - 8 osztály 2024</v>
      </c>
      <c r="BK184" s="411"/>
      <c r="BL184" s="5" t="str">
        <f t="shared" si="628"/>
        <v>x25'u * Trend Ėu - 8 osztály 2025</v>
      </c>
      <c r="BM184" s="6" t="str">
        <f t="shared" si="629"/>
        <v>x25'g * Trend Ėg - 8 osztály 2025</v>
      </c>
      <c r="BN184" s="6" t="str">
        <f t="shared" si="630"/>
        <v>x25'd * Trend Ėd - 8 osztály 2025</v>
      </c>
      <c r="BO184" s="411"/>
    </row>
    <row r="185" spans="2:67" x14ac:dyDescent="0.35">
      <c r="B185" t="s">
        <v>15</v>
      </c>
      <c r="D185" s="367"/>
      <c r="E185" s="406"/>
      <c r="F185" s="407"/>
      <c r="G185" s="411"/>
      <c r="H185" s="367"/>
      <c r="I185" s="406"/>
      <c r="J185" s="407"/>
      <c r="K185" s="411"/>
      <c r="L185" s="367"/>
      <c r="M185" s="406"/>
      <c r="N185" s="407"/>
      <c r="O185" s="411"/>
      <c r="P185" s="367"/>
      <c r="Q185" s="406"/>
      <c r="R185" s="407"/>
      <c r="S185" s="411"/>
      <c r="T185" s="367"/>
      <c r="U185" s="406"/>
      <c r="V185" s="407"/>
      <c r="W185" s="411"/>
      <c r="X185" s="367"/>
      <c r="Y185" s="406"/>
      <c r="Z185" s="407"/>
      <c r="AA185" s="411"/>
      <c r="AB185" s="367"/>
      <c r="AC185" s="406"/>
      <c r="AD185" s="407"/>
      <c r="AE185" s="411"/>
      <c r="AF185" s="367"/>
      <c r="AG185" s="406"/>
      <c r="AH185" s="407"/>
      <c r="AI185" s="411"/>
      <c r="AJ185" s="367"/>
      <c r="AK185" s="406"/>
      <c r="AL185" s="407"/>
      <c r="AM185" s="411"/>
      <c r="AN185" s="367"/>
      <c r="AO185" s="406"/>
      <c r="AP185" s="407"/>
      <c r="AQ185" s="411"/>
      <c r="AR185" s="5" t="str">
        <f t="shared" si="613"/>
        <v>x20'u * Trend Ėu - szakiskola 2020</v>
      </c>
      <c r="AS185" s="6" t="str">
        <f t="shared" si="614"/>
        <v>x20'g * Trend Ėg - szakiskola 2020</v>
      </c>
      <c r="AT185" s="6" t="str">
        <f t="shared" si="615"/>
        <v>x20'd * Trend Ėd - szakiskola 2020</v>
      </c>
      <c r="AU185" s="411"/>
      <c r="AV185" s="5" t="str">
        <f t="shared" si="616"/>
        <v>x21'u * Trend Ėu - szakiskola 2021</v>
      </c>
      <c r="AW185" s="6" t="str">
        <f t="shared" si="617"/>
        <v>x21'g * Trend Ėg - szakiskola 2021</v>
      </c>
      <c r="AX185" s="6" t="str">
        <f t="shared" si="618"/>
        <v>x21'd * Trend Ėd - szakiskola 2021</v>
      </c>
      <c r="AY185" s="411"/>
      <c r="AZ185" s="5" t="str">
        <f t="shared" si="619"/>
        <v>x22'u * Trend Ėu - szakiskola 2022</v>
      </c>
      <c r="BA185" s="6" t="str">
        <f t="shared" si="620"/>
        <v>x22'g * Trend Ėg - szakiskola 2022</v>
      </c>
      <c r="BB185" s="6" t="str">
        <f t="shared" si="621"/>
        <v>x22'd * Trend Ėd - szakiskola 2022</v>
      </c>
      <c r="BC185" s="411"/>
      <c r="BD185" s="5" t="str">
        <f t="shared" si="622"/>
        <v>x23'u * Trend Ėu - szakiskola 2023</v>
      </c>
      <c r="BE185" s="6" t="str">
        <f t="shared" si="623"/>
        <v>x23'g * Trend Ėg - szakiskola 2023</v>
      </c>
      <c r="BF185" s="6" t="str">
        <f t="shared" si="624"/>
        <v>x23'd * Trend Ėd - szakiskola 2023</v>
      </c>
      <c r="BG185" s="411"/>
      <c r="BH185" s="5" t="str">
        <f t="shared" si="625"/>
        <v>x24'u * Trend Ėu - szakiskola 2024</v>
      </c>
      <c r="BI185" s="6" t="str">
        <f t="shared" si="626"/>
        <v>x24'g * Trend Ėg - szakiskola 2024</v>
      </c>
      <c r="BJ185" s="6" t="str">
        <f t="shared" si="627"/>
        <v>x24'd * Trend Ėd - szakiskola 2024</v>
      </c>
      <c r="BK185" s="411"/>
      <c r="BL185" s="5" t="str">
        <f t="shared" si="628"/>
        <v>x25'u * Trend Ėu - szakiskola 2025</v>
      </c>
      <c r="BM185" s="6" t="str">
        <f t="shared" si="629"/>
        <v>x25'g * Trend Ėg - szakiskola 2025</v>
      </c>
      <c r="BN185" s="6" t="str">
        <f t="shared" si="630"/>
        <v>x25'd * Trend Ėd - szakiskola 2025</v>
      </c>
      <c r="BO185" s="411"/>
    </row>
    <row r="186" spans="2:67" x14ac:dyDescent="0.35">
      <c r="B186" t="s">
        <v>16</v>
      </c>
      <c r="D186" s="367"/>
      <c r="E186" s="406"/>
      <c r="F186" s="407"/>
      <c r="G186" s="411"/>
      <c r="H186" s="367"/>
      <c r="I186" s="406"/>
      <c r="J186" s="407"/>
      <c r="K186" s="411"/>
      <c r="L186" s="367"/>
      <c r="M186" s="406"/>
      <c r="N186" s="407"/>
      <c r="O186" s="411"/>
      <c r="P186" s="367"/>
      <c r="Q186" s="406"/>
      <c r="R186" s="407"/>
      <c r="S186" s="411"/>
      <c r="T186" s="367"/>
      <c r="U186" s="406"/>
      <c r="V186" s="407"/>
      <c r="W186" s="411"/>
      <c r="X186" s="367"/>
      <c r="Y186" s="406"/>
      <c r="Z186" s="407"/>
      <c r="AA186" s="411"/>
      <c r="AB186" s="367"/>
      <c r="AC186" s="406"/>
      <c r="AD186" s="407"/>
      <c r="AE186" s="411"/>
      <c r="AF186" s="367"/>
      <c r="AG186" s="406"/>
      <c r="AH186" s="407"/>
      <c r="AI186" s="411"/>
      <c r="AJ186" s="367"/>
      <c r="AK186" s="406"/>
      <c r="AL186" s="407"/>
      <c r="AM186" s="411"/>
      <c r="AN186" s="367"/>
      <c r="AO186" s="406"/>
      <c r="AP186" s="407"/>
      <c r="AQ186" s="411"/>
      <c r="AR186" s="5" t="str">
        <f t="shared" si="613"/>
        <v>x20'u * Trend Ėu - Gimnázium 2020</v>
      </c>
      <c r="AS186" s="6" t="str">
        <f t="shared" si="614"/>
        <v>x20'g * Trend Ėg - Gimnázium 2020</v>
      </c>
      <c r="AT186" s="6" t="str">
        <f t="shared" si="615"/>
        <v>x20'd * Trend Ėd - Gimnázium 2020</v>
      </c>
      <c r="AU186" s="411"/>
      <c r="AV186" s="5" t="str">
        <f t="shared" si="616"/>
        <v>x21'u * Trend Ėu - Gimnázium 2021</v>
      </c>
      <c r="AW186" s="6" t="str">
        <f t="shared" si="617"/>
        <v>x21'g * Trend Ėg - Gimnázium 2021</v>
      </c>
      <c r="AX186" s="6" t="str">
        <f t="shared" si="618"/>
        <v>x21'd * Trend Ėd - Gimnázium 2021</v>
      </c>
      <c r="AY186" s="411"/>
      <c r="AZ186" s="5" t="str">
        <f t="shared" si="619"/>
        <v>x22'u * Trend Ėu - Gimnázium 2022</v>
      </c>
      <c r="BA186" s="6" t="str">
        <f t="shared" si="620"/>
        <v>x22'g * Trend Ėg - Gimnázium 2022</v>
      </c>
      <c r="BB186" s="6" t="str">
        <f t="shared" si="621"/>
        <v>x22'd * Trend Ėd - Gimnázium 2022</v>
      </c>
      <c r="BC186" s="411"/>
      <c r="BD186" s="5" t="str">
        <f t="shared" si="622"/>
        <v>x23'u * Trend Ėu - Gimnázium 2023</v>
      </c>
      <c r="BE186" s="6" t="str">
        <f t="shared" si="623"/>
        <v>x23'g * Trend Ėg - Gimnázium 2023</v>
      </c>
      <c r="BF186" s="6" t="str">
        <f t="shared" si="624"/>
        <v>x23'd * Trend Ėd - Gimnázium 2023</v>
      </c>
      <c r="BG186" s="411"/>
      <c r="BH186" s="5" t="str">
        <f t="shared" si="625"/>
        <v>x24'u * Trend Ėu - Gimnázium 2024</v>
      </c>
      <c r="BI186" s="6" t="str">
        <f t="shared" si="626"/>
        <v>x24'g * Trend Ėg - Gimnázium 2024</v>
      </c>
      <c r="BJ186" s="6" t="str">
        <f t="shared" si="627"/>
        <v>x24'd * Trend Ėd - Gimnázium 2024</v>
      </c>
      <c r="BK186" s="411"/>
      <c r="BL186" s="5" t="str">
        <f t="shared" si="628"/>
        <v>x25'u * Trend Ėu - Gimnázium 2025</v>
      </c>
      <c r="BM186" s="6" t="str">
        <f t="shared" si="629"/>
        <v>x25'g * Trend Ėg - Gimnázium 2025</v>
      </c>
      <c r="BN186" s="6" t="str">
        <f t="shared" si="630"/>
        <v>x25'd * Trend Ėd - Gimnázium 2025</v>
      </c>
      <c r="BO186" s="411"/>
    </row>
    <row r="187" spans="2:67" x14ac:dyDescent="0.35">
      <c r="B187" t="s">
        <v>17</v>
      </c>
      <c r="D187" s="367"/>
      <c r="E187" s="406"/>
      <c r="F187" s="407"/>
      <c r="G187" s="411"/>
      <c r="H187" s="367"/>
      <c r="I187" s="406"/>
      <c r="J187" s="407"/>
      <c r="K187" s="411"/>
      <c r="L187" s="367"/>
      <c r="M187" s="406"/>
      <c r="N187" s="407"/>
      <c r="O187" s="411"/>
      <c r="P187" s="367"/>
      <c r="Q187" s="406"/>
      <c r="R187" s="407"/>
      <c r="S187" s="411"/>
      <c r="T187" s="367"/>
      <c r="U187" s="406"/>
      <c r="V187" s="407"/>
      <c r="W187" s="411"/>
      <c r="X187" s="367"/>
      <c r="Y187" s="406"/>
      <c r="Z187" s="407"/>
      <c r="AA187" s="411"/>
      <c r="AB187" s="367"/>
      <c r="AC187" s="406"/>
      <c r="AD187" s="407"/>
      <c r="AE187" s="411"/>
      <c r="AF187" s="367"/>
      <c r="AG187" s="406"/>
      <c r="AH187" s="407"/>
      <c r="AI187" s="411"/>
      <c r="AJ187" s="367"/>
      <c r="AK187" s="406"/>
      <c r="AL187" s="407"/>
      <c r="AM187" s="411"/>
      <c r="AN187" s="367"/>
      <c r="AO187" s="406"/>
      <c r="AP187" s="407"/>
      <c r="AQ187" s="411"/>
      <c r="AR187" s="5" t="str">
        <f t="shared" si="613"/>
        <v>x20'u * Trend Ėu - Technikum 2020</v>
      </c>
      <c r="AS187" s="6" t="str">
        <f t="shared" si="614"/>
        <v>x20'g * Trend Ėg - Technikum 2020</v>
      </c>
      <c r="AT187" s="6" t="str">
        <f t="shared" si="615"/>
        <v>x20'd * Trend Ėd - Technikum 2020</v>
      </c>
      <c r="AU187" s="411"/>
      <c r="AV187" s="5" t="str">
        <f t="shared" si="616"/>
        <v>x21'u * Trend Ėu - Technikum 2021</v>
      </c>
      <c r="AW187" s="6" t="str">
        <f t="shared" si="617"/>
        <v>x21'g * Trend Ėg - Technikum 2021</v>
      </c>
      <c r="AX187" s="6" t="str">
        <f t="shared" si="618"/>
        <v>x21'd * Trend Ėd - Technikum 2021</v>
      </c>
      <c r="AY187" s="411"/>
      <c r="AZ187" s="5" t="str">
        <f t="shared" si="619"/>
        <v>x22'u * Trend Ėu - Technikum 2022</v>
      </c>
      <c r="BA187" s="6" t="str">
        <f t="shared" si="620"/>
        <v>x22'g * Trend Ėg - Technikum 2022</v>
      </c>
      <c r="BB187" s="6" t="str">
        <f t="shared" si="621"/>
        <v>x22'd * Trend Ėd - Technikum 2022</v>
      </c>
      <c r="BC187" s="411"/>
      <c r="BD187" s="5" t="str">
        <f t="shared" si="622"/>
        <v>x23'u * Trend Ėu - Technikum 2023</v>
      </c>
      <c r="BE187" s="6" t="str">
        <f t="shared" si="623"/>
        <v>x23'g * Trend Ėg - Technikum 2023</v>
      </c>
      <c r="BF187" s="6" t="str">
        <f t="shared" si="624"/>
        <v>x23'd * Trend Ėd - Technikum 2023</v>
      </c>
      <c r="BG187" s="411"/>
      <c r="BH187" s="5" t="str">
        <f t="shared" si="625"/>
        <v>x24'u * Trend Ėu - Technikum 2024</v>
      </c>
      <c r="BI187" s="6" t="str">
        <f t="shared" si="626"/>
        <v>x24'g * Trend Ėg - Technikum 2024</v>
      </c>
      <c r="BJ187" s="6" t="str">
        <f t="shared" si="627"/>
        <v>x24'd * Trend Ėd - Technikum 2024</v>
      </c>
      <c r="BK187" s="411"/>
      <c r="BL187" s="5" t="str">
        <f t="shared" si="628"/>
        <v>x25'u * Trend Ėu - Technikum 2025</v>
      </c>
      <c r="BM187" s="6" t="str">
        <f t="shared" si="629"/>
        <v>x25'g * Trend Ėg - Technikum 2025</v>
      </c>
      <c r="BN187" s="6" t="str">
        <f t="shared" si="630"/>
        <v>x25'd * Trend Ėd - Technikum 2025</v>
      </c>
      <c r="BO187" s="411"/>
    </row>
    <row r="188" spans="2:67" x14ac:dyDescent="0.35">
      <c r="B188" t="s">
        <v>18</v>
      </c>
      <c r="D188" s="367"/>
      <c r="E188" s="406"/>
      <c r="F188" s="407"/>
      <c r="G188" s="411"/>
      <c r="H188" s="367"/>
      <c r="I188" s="406"/>
      <c r="J188" s="407"/>
      <c r="K188" s="411"/>
      <c r="L188" s="367"/>
      <c r="M188" s="406"/>
      <c r="N188" s="407"/>
      <c r="O188" s="411"/>
      <c r="P188" s="367"/>
      <c r="Q188" s="406"/>
      <c r="R188" s="407"/>
      <c r="S188" s="411"/>
      <c r="T188" s="367"/>
      <c r="U188" s="406"/>
      <c r="V188" s="407"/>
      <c r="W188" s="411"/>
      <c r="X188" s="367"/>
      <c r="Y188" s="406"/>
      <c r="Z188" s="407"/>
      <c r="AA188" s="411"/>
      <c r="AB188" s="367"/>
      <c r="AC188" s="406"/>
      <c r="AD188" s="407"/>
      <c r="AE188" s="411"/>
      <c r="AF188" s="367"/>
      <c r="AG188" s="406"/>
      <c r="AH188" s="407"/>
      <c r="AI188" s="411"/>
      <c r="AJ188" s="367"/>
      <c r="AK188" s="406"/>
      <c r="AL188" s="407"/>
      <c r="AM188" s="411"/>
      <c r="AN188" s="367"/>
      <c r="AO188" s="406"/>
      <c r="AP188" s="407"/>
      <c r="AQ188" s="411"/>
      <c r="AR188" s="5" t="str">
        <f t="shared" si="613"/>
        <v>x20'u * Trend Ėu - Főiskola 2020</v>
      </c>
      <c r="AS188" s="6" t="str">
        <f t="shared" si="614"/>
        <v>x20'g * Trend Ėg - Főiskola 2020</v>
      </c>
      <c r="AT188" s="6" t="str">
        <f t="shared" si="615"/>
        <v>x20'd * Trend Ėd - Főiskola 2020</v>
      </c>
      <c r="AU188" s="411"/>
      <c r="AV188" s="5" t="str">
        <f t="shared" si="616"/>
        <v>x21'u * Trend Ėu - Főiskola 2021</v>
      </c>
      <c r="AW188" s="6" t="str">
        <f t="shared" si="617"/>
        <v>x21'g * Trend Ėg - Főiskola 2021</v>
      </c>
      <c r="AX188" s="6" t="str">
        <f t="shared" si="618"/>
        <v>x21'd * Trend Ėd - Főiskola 2021</v>
      </c>
      <c r="AY188" s="411"/>
      <c r="AZ188" s="5" t="str">
        <f t="shared" si="619"/>
        <v>x22'u * Trend Ėu - Főiskola 2022</v>
      </c>
      <c r="BA188" s="6" t="str">
        <f t="shared" si="620"/>
        <v>x22'g * Trend Ėg - Főiskola 2022</v>
      </c>
      <c r="BB188" s="6" t="str">
        <f t="shared" si="621"/>
        <v>x22'd * Trend Ėd - Főiskola 2022</v>
      </c>
      <c r="BC188" s="411"/>
      <c r="BD188" s="5" t="str">
        <f t="shared" si="622"/>
        <v>x23'u * Trend Ėu - Főiskola 2023</v>
      </c>
      <c r="BE188" s="6" t="str">
        <f t="shared" si="623"/>
        <v>x23'g * Trend Ėg - Főiskola 2023</v>
      </c>
      <c r="BF188" s="6" t="str">
        <f t="shared" si="624"/>
        <v>x23'd * Trend Ėd - Főiskola 2023</v>
      </c>
      <c r="BG188" s="411"/>
      <c r="BH188" s="5" t="str">
        <f t="shared" si="625"/>
        <v>x24'u * Trend Ėu - Főiskola 2024</v>
      </c>
      <c r="BI188" s="6" t="str">
        <f t="shared" si="626"/>
        <v>x24'g * Trend Ėg - Főiskola 2024</v>
      </c>
      <c r="BJ188" s="6" t="str">
        <f t="shared" si="627"/>
        <v>x24'd * Trend Ėd - Főiskola 2024</v>
      </c>
      <c r="BK188" s="411"/>
      <c r="BL188" s="5" t="str">
        <f t="shared" si="628"/>
        <v>x25'u * Trend Ėu - Főiskola 2025</v>
      </c>
      <c r="BM188" s="6" t="str">
        <f t="shared" si="629"/>
        <v>x25'g * Trend Ėg - Főiskola 2025</v>
      </c>
      <c r="BN188" s="6" t="str">
        <f t="shared" si="630"/>
        <v>x25'd * Trend Ėd - Főiskola 2025</v>
      </c>
      <c r="BO188" s="411"/>
    </row>
    <row r="189" spans="2:67" x14ac:dyDescent="0.35">
      <c r="B189" t="s">
        <v>19</v>
      </c>
      <c r="D189" s="408"/>
      <c r="E189" s="409"/>
      <c r="F189" s="410"/>
      <c r="G189" s="412"/>
      <c r="H189" s="408"/>
      <c r="I189" s="409"/>
      <c r="J189" s="410"/>
      <c r="K189" s="412"/>
      <c r="L189" s="408"/>
      <c r="M189" s="409"/>
      <c r="N189" s="410"/>
      <c r="O189" s="412"/>
      <c r="P189" s="408"/>
      <c r="Q189" s="409"/>
      <c r="R189" s="410"/>
      <c r="S189" s="412"/>
      <c r="T189" s="408"/>
      <c r="U189" s="409"/>
      <c r="V189" s="410"/>
      <c r="W189" s="412"/>
      <c r="X189" s="408"/>
      <c r="Y189" s="409"/>
      <c r="Z189" s="410"/>
      <c r="AA189" s="412"/>
      <c r="AB189" s="408"/>
      <c r="AC189" s="409"/>
      <c r="AD189" s="410"/>
      <c r="AE189" s="412"/>
      <c r="AF189" s="408"/>
      <c r="AG189" s="409"/>
      <c r="AH189" s="410"/>
      <c r="AI189" s="412"/>
      <c r="AJ189" s="408"/>
      <c r="AK189" s="409"/>
      <c r="AL189" s="410"/>
      <c r="AM189" s="412"/>
      <c r="AN189" s="408"/>
      <c r="AO189" s="409"/>
      <c r="AP189" s="410"/>
      <c r="AQ189" s="412"/>
      <c r="AR189" s="5" t="str">
        <f t="shared" si="613"/>
        <v>x20'u * Trend Ėu - Egyetem 2020</v>
      </c>
      <c r="AS189" s="6" t="str">
        <f t="shared" si="614"/>
        <v>x20'g * Trend Ėg - Egyetem 2020</v>
      </c>
      <c r="AT189" s="6" t="str">
        <f t="shared" si="615"/>
        <v>x20'd * Trend Ėd - Egyetem 2020</v>
      </c>
      <c r="AU189" s="412"/>
      <c r="AV189" s="5" t="str">
        <f t="shared" si="616"/>
        <v>x21'u * Trend Ėu - Egyetem 2021</v>
      </c>
      <c r="AW189" s="6" t="str">
        <f t="shared" si="617"/>
        <v>x21'g * Trend Ėg - Egyetem 2021</v>
      </c>
      <c r="AX189" s="6" t="str">
        <f t="shared" si="618"/>
        <v>x21'd * Trend Ėd - Egyetem 2021</v>
      </c>
      <c r="AY189" s="412"/>
      <c r="AZ189" s="5" t="str">
        <f t="shared" si="619"/>
        <v>x22'u * Trend Ėu - Egyetem 2022</v>
      </c>
      <c r="BA189" s="6" t="str">
        <f t="shared" si="620"/>
        <v>x22'g * Trend Ėg - Egyetem 2022</v>
      </c>
      <c r="BB189" s="6" t="str">
        <f t="shared" si="621"/>
        <v>x22'd * Trend Ėd - Egyetem 2022</v>
      </c>
      <c r="BC189" s="412"/>
      <c r="BD189" s="5" t="str">
        <f t="shared" si="622"/>
        <v>x23'u * Trend Ėu - Egyetem 2023</v>
      </c>
      <c r="BE189" s="6" t="str">
        <f t="shared" si="623"/>
        <v>x23'g * Trend Ėg - Egyetem 2023</v>
      </c>
      <c r="BF189" s="6" t="str">
        <f t="shared" si="624"/>
        <v>x23'd * Trend Ėd - Egyetem 2023</v>
      </c>
      <c r="BG189" s="412"/>
      <c r="BH189" s="5" t="str">
        <f t="shared" si="625"/>
        <v>x24'u * Trend Ėu - Egyetem 2024</v>
      </c>
      <c r="BI189" s="6" t="str">
        <f t="shared" si="626"/>
        <v>x24'g * Trend Ėg - Egyetem 2024</v>
      </c>
      <c r="BJ189" s="6" t="str">
        <f t="shared" si="627"/>
        <v>x24'd * Trend Ėd - Egyetem 2024</v>
      </c>
      <c r="BK189" s="412"/>
      <c r="BL189" s="5" t="str">
        <f t="shared" si="628"/>
        <v>x25'u * Trend Ėu - Egyetem 2025</v>
      </c>
      <c r="BM189" s="6" t="str">
        <f t="shared" si="629"/>
        <v>x25'g * Trend Ėg - Egyetem 2025</v>
      </c>
      <c r="BN189" s="6" t="str">
        <f t="shared" si="630"/>
        <v>x25'd * Trend Ėd - Egyetem 2025</v>
      </c>
      <c r="BO189" s="412"/>
    </row>
    <row r="190" spans="2:67" ht="72.5" x14ac:dyDescent="0.35">
      <c r="B190" t="str">
        <f>B181</f>
        <v>Összesen</v>
      </c>
      <c r="D190" s="403" t="s">
        <v>120</v>
      </c>
      <c r="E190" s="404"/>
      <c r="F190" s="405"/>
      <c r="G190" s="139" t="s">
        <v>122</v>
      </c>
      <c r="H190" s="403" t="s">
        <v>681</v>
      </c>
      <c r="I190" s="404"/>
      <c r="J190" s="405"/>
      <c r="K190" s="139" t="s">
        <v>682</v>
      </c>
      <c r="L190" s="403" t="s">
        <v>687</v>
      </c>
      <c r="M190" s="404"/>
      <c r="N190" s="405"/>
      <c r="O190" s="139" t="s">
        <v>688</v>
      </c>
      <c r="P190" s="403" t="s">
        <v>693</v>
      </c>
      <c r="Q190" s="404"/>
      <c r="R190" s="405"/>
      <c r="S190" s="139" t="s">
        <v>694</v>
      </c>
      <c r="T190" s="403" t="s">
        <v>699</v>
      </c>
      <c r="U190" s="404"/>
      <c r="V190" s="405"/>
      <c r="W190" s="139" t="s">
        <v>700</v>
      </c>
      <c r="X190" s="403" t="s">
        <v>120</v>
      </c>
      <c r="Y190" s="404"/>
      <c r="Z190" s="405"/>
      <c r="AA190" s="139" t="s">
        <v>122</v>
      </c>
      <c r="AB190" s="403" t="s">
        <v>705</v>
      </c>
      <c r="AC190" s="404"/>
      <c r="AD190" s="405"/>
      <c r="AE190" s="139" t="s">
        <v>706</v>
      </c>
      <c r="AF190" s="403" t="s">
        <v>711</v>
      </c>
      <c r="AG190" s="404"/>
      <c r="AH190" s="405"/>
      <c r="AI190" s="139" t="s">
        <v>712</v>
      </c>
      <c r="AJ190" s="403" t="s">
        <v>717</v>
      </c>
      <c r="AK190" s="404"/>
      <c r="AL190" s="405"/>
      <c r="AM190" s="139" t="s">
        <v>718</v>
      </c>
      <c r="AN190" s="403" t="s">
        <v>723</v>
      </c>
      <c r="AO190" s="404"/>
      <c r="AP190" s="405"/>
      <c r="AQ190" s="139" t="s">
        <v>724</v>
      </c>
      <c r="AR190" s="104" t="str">
        <f>CONCATENATE("SZUM( ",AR197,"u * ","Trend Ėu 0-7 osztály … Egyetem) ",AR195)</f>
        <v>SZUM( x20'u * Trend Ėu 0-7 osztály … Egyetem) 2020</v>
      </c>
      <c r="AS190" s="103" t="str">
        <f>CONCATENATE("SZUM( ",AS197,"g * ","Trend Ėg 0-7 osztály … Egyetem) ",AS195)</f>
        <v xml:space="preserve">SZUM( g * Trend Ėg 0-7 osztály … Egyetem) </v>
      </c>
      <c r="AT190" s="103" t="str">
        <f>CONCATENATE("SZUM( Trend Ėd 0-7 osztály … Egyetem) ",AR169)</f>
        <v>SZUM( Trend Ėd 0-7 osztály … Egyetem) Upstream</v>
      </c>
      <c r="AU190" s="82" t="s">
        <v>881</v>
      </c>
      <c r="AV190" s="104" t="str">
        <f>CONCATENATE("SZUM( ",AV197,"u * ","Trend Ėu 0-7 osztály … Egyetem) ",AV195)</f>
        <v>SZUM( x21'u * Trend Ėu 0-7 osztály … Egyetem) 2021</v>
      </c>
      <c r="AW190" s="103" t="str">
        <f>CONCATENATE("SZUM( ",AW197,"g * ","Trend Ėg 0-7 osztály … Egyetem) ",AW195)</f>
        <v xml:space="preserve">SZUM( g * Trend Ėg 0-7 osztály … Egyetem) </v>
      </c>
      <c r="AX190" s="103" t="str">
        <f>CONCATENATE("SZUM( Trend Ėd 0-7 osztály … Egyetem) ",AV169)</f>
        <v>SZUM( Trend Ėd 0-7 osztály … Egyetem) Upstream</v>
      </c>
      <c r="AY190" s="82" t="s">
        <v>901</v>
      </c>
      <c r="AZ190" s="104" t="str">
        <f>CONCATENATE("SZUM( ",AZ197,"u * ","Trend Ėu 0-7 osztály … Egyetem) ",AZ195)</f>
        <v>SZUM( x22'u * Trend Ėu 0-7 osztály … Egyetem) 2022</v>
      </c>
      <c r="BA190" s="103" t="str">
        <f>CONCATENATE("SZUM( ",BA197,"g * ","Trend Ėg 0-7 osztály … Egyetem) ",BA195)</f>
        <v xml:space="preserve">SZUM( g * Trend Ėg 0-7 osztály … Egyetem) </v>
      </c>
      <c r="BB190" s="103" t="str">
        <f>CONCATENATE("SZUM( Trend Ėd 0-7 osztály … Egyetem) ",AZ169)</f>
        <v>SZUM( Trend Ėd 0-7 osztály … Egyetem) Upstream</v>
      </c>
      <c r="BC190" s="82" t="s">
        <v>909</v>
      </c>
      <c r="BD190" s="104" t="str">
        <f>CONCATENATE("SZUM( ",BD197,"u * ","Trend Ėu 0-7 osztály … Egyetem) ",BD195)</f>
        <v>SZUM( x23'u * Trend Ėu 0-7 osztály … Egyetem) 2023</v>
      </c>
      <c r="BE190" s="103" t="str">
        <f>CONCATENATE("SZUM( ",BE197,"g * ","Trend Ėg 0-7 osztály … Egyetem) ",BE195)</f>
        <v xml:space="preserve">SZUM( g * Trend Ėg 0-7 osztály … Egyetem) </v>
      </c>
      <c r="BF190" s="103" t="str">
        <f>CONCATENATE("SZUM( Trend Ėd 0-7 osztály … Egyetem) ",BD169)</f>
        <v>SZUM( Trend Ėd 0-7 osztály … Egyetem) Upstream</v>
      </c>
      <c r="BG190" s="82" t="s">
        <v>917</v>
      </c>
      <c r="BH190" s="104" t="str">
        <f>CONCATENATE("SZUM( ",BH197,"u * ","Trend Ėu 0-7 osztály … Egyetem) ",BH195)</f>
        <v>SZUM( x24'u * Trend Ėu 0-7 osztály … Egyetem) 2024</v>
      </c>
      <c r="BI190" s="103" t="str">
        <f>CONCATENATE("SZUM( ",BI197,"g * ","Trend Ėg 0-7 osztály … Egyetem) ",BI195)</f>
        <v xml:space="preserve">SZUM( g * Trend Ėg 0-7 osztály … Egyetem) </v>
      </c>
      <c r="BJ190" s="103" t="str">
        <f>CONCATENATE("SZUM( Trend Ėd 0-7 osztály … Egyetem) ",BH169)</f>
        <v>SZUM( Trend Ėd 0-7 osztály … Egyetem) Upstream</v>
      </c>
      <c r="BK190" s="82" t="s">
        <v>925</v>
      </c>
      <c r="BL190" s="104" t="str">
        <f>CONCATENATE("SZUM( ",BL197,"u * ","Trend Ėu 0-7 osztály … Egyetem) ",BL195)</f>
        <v>SZUM( x25'u * Trend Ėu 0-7 osztály … Egyetem) 2025</v>
      </c>
      <c r="BM190" s="103" t="str">
        <f>CONCATENATE("SZUM( ",BM197,"g * ","Trend Ėg 0-7 osztály … Egyetem) ",BM195)</f>
        <v xml:space="preserve">SZUM( g * Trend Ėg 0-7 osztály … Egyetem) </v>
      </c>
      <c r="BN190" s="103" t="str">
        <f>CONCATENATE("SZUM( Trend Ėd 0-7 osztály … Egyetem) ",BL169)</f>
        <v>SZUM( Trend Ėd 0-7 osztály … Egyetem) Upstream</v>
      </c>
      <c r="BO190" s="82" t="s">
        <v>933</v>
      </c>
    </row>
    <row r="192" spans="2:67" x14ac:dyDescent="0.35">
      <c r="B192" t="s">
        <v>20</v>
      </c>
      <c r="D192" s="3">
        <f>SUM(D171:D180)-SUM(D183:D189)</f>
        <v>0</v>
      </c>
      <c r="E192" s="3">
        <f t="shared" ref="E192:BO192" si="631">SUM(E171:E180)-SUM(E183:E189)</f>
        <v>0</v>
      </c>
      <c r="F192" s="3">
        <f t="shared" si="631"/>
        <v>0</v>
      </c>
      <c r="G192" s="3">
        <f t="shared" si="631"/>
        <v>0</v>
      </c>
      <c r="H192" s="3">
        <f t="shared" si="631"/>
        <v>0</v>
      </c>
      <c r="I192" s="3">
        <f t="shared" si="631"/>
        <v>0</v>
      </c>
      <c r="J192" s="3">
        <f t="shared" si="631"/>
        <v>0</v>
      </c>
      <c r="K192" s="3">
        <f t="shared" si="631"/>
        <v>0</v>
      </c>
      <c r="L192" s="3">
        <f t="shared" si="631"/>
        <v>0</v>
      </c>
      <c r="M192" s="3">
        <f t="shared" si="631"/>
        <v>0</v>
      </c>
      <c r="N192" s="3">
        <f t="shared" si="631"/>
        <v>0</v>
      </c>
      <c r="O192" s="3">
        <f t="shared" si="631"/>
        <v>0</v>
      </c>
      <c r="P192" s="3">
        <f t="shared" si="631"/>
        <v>0</v>
      </c>
      <c r="Q192" s="3">
        <f t="shared" si="631"/>
        <v>0</v>
      </c>
      <c r="R192" s="3">
        <f t="shared" si="631"/>
        <v>0</v>
      </c>
      <c r="S192" s="3">
        <f t="shared" si="631"/>
        <v>0</v>
      </c>
      <c r="T192" s="3">
        <f t="shared" si="631"/>
        <v>0</v>
      </c>
      <c r="U192" s="3">
        <f t="shared" si="631"/>
        <v>0</v>
      </c>
      <c r="V192" s="3">
        <f t="shared" si="631"/>
        <v>0</v>
      </c>
      <c r="W192" s="3">
        <f t="shared" si="631"/>
        <v>0</v>
      </c>
      <c r="X192" s="3">
        <f t="shared" si="631"/>
        <v>0</v>
      </c>
      <c r="Y192" s="3">
        <f t="shared" si="631"/>
        <v>0</v>
      </c>
      <c r="Z192" s="3">
        <f t="shared" si="631"/>
        <v>0</v>
      </c>
      <c r="AA192" s="3">
        <f t="shared" si="631"/>
        <v>0</v>
      </c>
      <c r="AB192" s="3">
        <f t="shared" si="631"/>
        <v>0</v>
      </c>
      <c r="AC192" s="3">
        <f t="shared" si="631"/>
        <v>0</v>
      </c>
      <c r="AD192" s="3">
        <f t="shared" si="631"/>
        <v>0</v>
      </c>
      <c r="AE192" s="3">
        <f t="shared" si="631"/>
        <v>0</v>
      </c>
      <c r="AF192" s="3">
        <f t="shared" si="631"/>
        <v>0</v>
      </c>
      <c r="AG192" s="3">
        <f t="shared" si="631"/>
        <v>0</v>
      </c>
      <c r="AH192" s="3">
        <f t="shared" si="631"/>
        <v>0</v>
      </c>
      <c r="AI192" s="3">
        <f t="shared" si="631"/>
        <v>0</v>
      </c>
      <c r="AJ192" s="3">
        <f t="shared" si="631"/>
        <v>0</v>
      </c>
      <c r="AK192" s="3">
        <f t="shared" si="631"/>
        <v>0</v>
      </c>
      <c r="AL192" s="3">
        <f t="shared" si="631"/>
        <v>0</v>
      </c>
      <c r="AM192" s="3">
        <f t="shared" si="631"/>
        <v>0</v>
      </c>
      <c r="AN192" s="3">
        <f t="shared" si="631"/>
        <v>0</v>
      </c>
      <c r="AO192" s="3">
        <f t="shared" si="631"/>
        <v>0</v>
      </c>
      <c r="AP192" s="3">
        <f t="shared" si="631"/>
        <v>0</v>
      </c>
      <c r="AQ192" s="3">
        <f t="shared" si="631"/>
        <v>0</v>
      </c>
      <c r="AR192" s="3">
        <f t="shared" si="631"/>
        <v>0</v>
      </c>
      <c r="AS192" s="3">
        <f t="shared" si="631"/>
        <v>0</v>
      </c>
      <c r="AT192" s="3">
        <f t="shared" si="631"/>
        <v>0</v>
      </c>
      <c r="AU192" s="3">
        <f t="shared" si="631"/>
        <v>0</v>
      </c>
      <c r="AV192" s="3">
        <f t="shared" si="631"/>
        <v>0</v>
      </c>
      <c r="AW192" s="3">
        <f t="shared" si="631"/>
        <v>0</v>
      </c>
      <c r="AX192" s="3">
        <f t="shared" si="631"/>
        <v>0</v>
      </c>
      <c r="AY192" s="3">
        <f t="shared" si="631"/>
        <v>0</v>
      </c>
      <c r="AZ192" s="3">
        <f t="shared" si="631"/>
        <v>0</v>
      </c>
      <c r="BA192" s="3">
        <f t="shared" si="631"/>
        <v>0</v>
      </c>
      <c r="BB192" s="3">
        <f t="shared" si="631"/>
        <v>0</v>
      </c>
      <c r="BC192" s="3">
        <f t="shared" si="631"/>
        <v>0</v>
      </c>
      <c r="BD192" s="3">
        <f t="shared" si="631"/>
        <v>0</v>
      </c>
      <c r="BE192" s="3">
        <f t="shared" si="631"/>
        <v>0</v>
      </c>
      <c r="BF192" s="3">
        <f t="shared" si="631"/>
        <v>0</v>
      </c>
      <c r="BG192" s="3">
        <f t="shared" si="631"/>
        <v>0</v>
      </c>
      <c r="BH192" s="3">
        <f t="shared" si="631"/>
        <v>0</v>
      </c>
      <c r="BI192" s="3">
        <f t="shared" si="631"/>
        <v>0</v>
      </c>
      <c r="BJ192" s="3">
        <f t="shared" si="631"/>
        <v>0</v>
      </c>
      <c r="BK192" s="3">
        <f t="shared" si="631"/>
        <v>0</v>
      </c>
      <c r="BL192" s="3">
        <f t="shared" si="631"/>
        <v>0</v>
      </c>
      <c r="BM192" s="3">
        <f t="shared" si="631"/>
        <v>0</v>
      </c>
      <c r="BN192" s="3">
        <f t="shared" si="631"/>
        <v>0</v>
      </c>
      <c r="BO192" s="3">
        <f t="shared" si="631"/>
        <v>0</v>
      </c>
    </row>
    <row r="194" spans="1:67" x14ac:dyDescent="0.35">
      <c r="A194" t="s">
        <v>92</v>
      </c>
    </row>
    <row r="195" spans="1:67" x14ac:dyDescent="0.35">
      <c r="D195" s="355">
        <f>D168</f>
        <v>2010</v>
      </c>
      <c r="E195" s="352"/>
      <c r="F195" s="352"/>
      <c r="G195" s="384"/>
      <c r="H195" s="355">
        <f>H168</f>
        <v>2011</v>
      </c>
      <c r="I195" s="352"/>
      <c r="J195" s="352"/>
      <c r="K195" s="384"/>
      <c r="L195" s="355">
        <f>L168</f>
        <v>2012</v>
      </c>
      <c r="M195" s="352"/>
      <c r="N195" s="352"/>
      <c r="O195" s="384"/>
      <c r="P195" s="355">
        <f>P168</f>
        <v>2013</v>
      </c>
      <c r="Q195" s="352"/>
      <c r="R195" s="352"/>
      <c r="S195" s="384"/>
      <c r="T195" s="355">
        <f>T168</f>
        <v>2014</v>
      </c>
      <c r="U195" s="352"/>
      <c r="V195" s="352"/>
      <c r="W195" s="384"/>
      <c r="X195" s="355">
        <f>X168</f>
        <v>2015</v>
      </c>
      <c r="Y195" s="352"/>
      <c r="Z195" s="352"/>
      <c r="AA195" s="384"/>
      <c r="AB195" s="355">
        <f>AB168</f>
        <v>2016</v>
      </c>
      <c r="AC195" s="352"/>
      <c r="AD195" s="352"/>
      <c r="AE195" s="384"/>
      <c r="AF195" s="355">
        <f>AF168</f>
        <v>2017</v>
      </c>
      <c r="AG195" s="352"/>
      <c r="AH195" s="352"/>
      <c r="AI195" s="384"/>
      <c r="AJ195" s="355">
        <f>AJ168</f>
        <v>2018</v>
      </c>
      <c r="AK195" s="352"/>
      <c r="AL195" s="352"/>
      <c r="AM195" s="384"/>
      <c r="AN195" s="355">
        <f>AN168</f>
        <v>2019</v>
      </c>
      <c r="AO195" s="352"/>
      <c r="AP195" s="352"/>
      <c r="AQ195" s="384"/>
      <c r="AR195" s="355">
        <f>AR168</f>
        <v>2020</v>
      </c>
      <c r="AS195" s="352"/>
      <c r="AT195" s="352"/>
      <c r="AU195" s="384"/>
      <c r="AV195" s="355">
        <f>AV168</f>
        <v>2021</v>
      </c>
      <c r="AW195" s="352"/>
      <c r="AX195" s="352"/>
      <c r="AY195" s="384"/>
      <c r="AZ195" s="355">
        <f>AZ168</f>
        <v>2022</v>
      </c>
      <c r="BA195" s="352"/>
      <c r="BB195" s="352"/>
      <c r="BC195" s="384"/>
      <c r="BD195" s="355">
        <f>BD168</f>
        <v>2023</v>
      </c>
      <c r="BE195" s="352"/>
      <c r="BF195" s="352"/>
      <c r="BG195" s="384"/>
      <c r="BH195" s="355">
        <f>BH168</f>
        <v>2024</v>
      </c>
      <c r="BI195" s="352"/>
      <c r="BJ195" s="352"/>
      <c r="BK195" s="384"/>
      <c r="BL195" s="355">
        <f>BL168</f>
        <v>2025</v>
      </c>
      <c r="BM195" s="352"/>
      <c r="BN195" s="352"/>
      <c r="BO195" s="384"/>
    </row>
    <row r="196" spans="1:67" x14ac:dyDescent="0.35">
      <c r="D196" s="50" t="str">
        <f>D169</f>
        <v>Upstream</v>
      </c>
      <c r="E196" s="51" t="str">
        <f t="shared" ref="E196:BO196" si="632">E169</f>
        <v>Gyártás</v>
      </c>
      <c r="F196" s="51" t="str">
        <f t="shared" si="632"/>
        <v>Downstream</v>
      </c>
      <c r="G196" s="57" t="str">
        <f t="shared" si="632"/>
        <v>Összesen</v>
      </c>
      <c r="H196" s="50" t="str">
        <f t="shared" si="632"/>
        <v>Upstream</v>
      </c>
      <c r="I196" s="51" t="str">
        <f t="shared" si="632"/>
        <v>Gyártás</v>
      </c>
      <c r="J196" s="51" t="str">
        <f t="shared" si="632"/>
        <v>Downstream</v>
      </c>
      <c r="K196" s="57" t="str">
        <f t="shared" si="632"/>
        <v>Összesen</v>
      </c>
      <c r="L196" s="50" t="str">
        <f t="shared" si="632"/>
        <v>Upstream</v>
      </c>
      <c r="M196" s="51" t="str">
        <f t="shared" si="632"/>
        <v>Gyártás</v>
      </c>
      <c r="N196" s="51" t="str">
        <f t="shared" si="632"/>
        <v>Downstream</v>
      </c>
      <c r="O196" s="57" t="str">
        <f t="shared" si="632"/>
        <v>Összesen</v>
      </c>
      <c r="P196" s="50" t="str">
        <f t="shared" si="632"/>
        <v>Upstream</v>
      </c>
      <c r="Q196" s="51" t="str">
        <f t="shared" si="632"/>
        <v>Gyártás</v>
      </c>
      <c r="R196" s="51" t="str">
        <f t="shared" si="632"/>
        <v>Downstream</v>
      </c>
      <c r="S196" s="57" t="str">
        <f t="shared" si="632"/>
        <v>Összesen</v>
      </c>
      <c r="T196" s="50" t="str">
        <f t="shared" si="632"/>
        <v>Upstream</v>
      </c>
      <c r="U196" s="51" t="str">
        <f t="shared" si="632"/>
        <v>Gyártás</v>
      </c>
      <c r="V196" s="51" t="str">
        <f t="shared" si="632"/>
        <v>Downstream</v>
      </c>
      <c r="W196" s="57" t="str">
        <f t="shared" si="632"/>
        <v>Összesen</v>
      </c>
      <c r="X196" s="50" t="str">
        <f t="shared" si="632"/>
        <v>Upstream</v>
      </c>
      <c r="Y196" s="51" t="str">
        <f t="shared" si="632"/>
        <v>Gyártás</v>
      </c>
      <c r="Z196" s="51" t="str">
        <f t="shared" si="632"/>
        <v>Downstream</v>
      </c>
      <c r="AA196" s="57" t="str">
        <f t="shared" si="632"/>
        <v>Összesen</v>
      </c>
      <c r="AB196" s="50" t="str">
        <f t="shared" si="632"/>
        <v>Upstream</v>
      </c>
      <c r="AC196" s="51" t="str">
        <f t="shared" si="632"/>
        <v>Gyártás</v>
      </c>
      <c r="AD196" s="51" t="str">
        <f t="shared" si="632"/>
        <v>Downstream</v>
      </c>
      <c r="AE196" s="57" t="str">
        <f t="shared" si="632"/>
        <v>Összesen</v>
      </c>
      <c r="AF196" s="50" t="str">
        <f t="shared" si="632"/>
        <v>Upstream</v>
      </c>
      <c r="AG196" s="51" t="str">
        <f t="shared" si="632"/>
        <v>Gyártás</v>
      </c>
      <c r="AH196" s="51" t="str">
        <f t="shared" si="632"/>
        <v>Downstream</v>
      </c>
      <c r="AI196" s="57" t="str">
        <f t="shared" si="632"/>
        <v>Összesen</v>
      </c>
      <c r="AJ196" s="50" t="str">
        <f t="shared" si="632"/>
        <v>Upstream</v>
      </c>
      <c r="AK196" s="51" t="str">
        <f t="shared" si="632"/>
        <v>Gyártás</v>
      </c>
      <c r="AL196" s="51" t="str">
        <f t="shared" si="632"/>
        <v>Downstream</v>
      </c>
      <c r="AM196" s="57" t="str">
        <f t="shared" si="632"/>
        <v>Összesen</v>
      </c>
      <c r="AN196" s="50" t="str">
        <f t="shared" si="632"/>
        <v>Upstream</v>
      </c>
      <c r="AO196" s="51" t="str">
        <f t="shared" si="632"/>
        <v>Gyártás</v>
      </c>
      <c r="AP196" s="51" t="str">
        <f t="shared" si="632"/>
        <v>Downstream</v>
      </c>
      <c r="AQ196" s="57" t="str">
        <f t="shared" si="632"/>
        <v>Összesen</v>
      </c>
      <c r="AR196" s="50" t="str">
        <f t="shared" si="632"/>
        <v>Upstream</v>
      </c>
      <c r="AS196" s="51" t="str">
        <f t="shared" si="632"/>
        <v>Gyártás</v>
      </c>
      <c r="AT196" s="51" t="str">
        <f t="shared" si="632"/>
        <v>Downstream</v>
      </c>
      <c r="AU196" s="57" t="str">
        <f t="shared" si="632"/>
        <v>Összesen</v>
      </c>
      <c r="AV196" s="50" t="str">
        <f t="shared" si="632"/>
        <v>Upstream</v>
      </c>
      <c r="AW196" s="51" t="str">
        <f t="shared" si="632"/>
        <v>Gyártás</v>
      </c>
      <c r="AX196" s="51" t="str">
        <f t="shared" si="632"/>
        <v>Downstream</v>
      </c>
      <c r="AY196" s="57" t="str">
        <f t="shared" si="632"/>
        <v>Összesen</v>
      </c>
      <c r="AZ196" s="50" t="str">
        <f t="shared" si="632"/>
        <v>Upstream</v>
      </c>
      <c r="BA196" s="51" t="str">
        <f t="shared" si="632"/>
        <v>Gyártás</v>
      </c>
      <c r="BB196" s="51" t="str">
        <f t="shared" si="632"/>
        <v>Downstream</v>
      </c>
      <c r="BC196" s="57" t="str">
        <f t="shared" si="632"/>
        <v>Összesen</v>
      </c>
      <c r="BD196" s="50" t="str">
        <f t="shared" si="632"/>
        <v>Upstream</v>
      </c>
      <c r="BE196" s="51" t="str">
        <f t="shared" si="632"/>
        <v>Gyártás</v>
      </c>
      <c r="BF196" s="51" t="str">
        <f t="shared" si="632"/>
        <v>Downstream</v>
      </c>
      <c r="BG196" s="57" t="str">
        <f t="shared" si="632"/>
        <v>Összesen</v>
      </c>
      <c r="BH196" s="50" t="str">
        <f t="shared" si="632"/>
        <v>Upstream</v>
      </c>
      <c r="BI196" s="51" t="str">
        <f t="shared" si="632"/>
        <v>Gyártás</v>
      </c>
      <c r="BJ196" s="51" t="str">
        <f t="shared" si="632"/>
        <v>Downstream</v>
      </c>
      <c r="BK196" s="57" t="str">
        <f t="shared" si="632"/>
        <v>Összesen</v>
      </c>
      <c r="BL196" s="50" t="str">
        <f t="shared" si="632"/>
        <v>Upstream</v>
      </c>
      <c r="BM196" s="51" t="str">
        <f t="shared" si="632"/>
        <v>Gyártás</v>
      </c>
      <c r="BN196" s="51" t="str">
        <f t="shared" si="632"/>
        <v>Downstream</v>
      </c>
      <c r="BO196" s="57" t="str">
        <f t="shared" si="632"/>
        <v>Összesen</v>
      </c>
    </row>
    <row r="197" spans="1:67" x14ac:dyDescent="0.35">
      <c r="B197" t="s">
        <v>94</v>
      </c>
      <c r="D197" s="403" t="s">
        <v>123</v>
      </c>
      <c r="E197" s="404"/>
      <c r="F197" s="405"/>
      <c r="G197" s="82" t="s">
        <v>124</v>
      </c>
      <c r="H197" s="403" t="s">
        <v>797</v>
      </c>
      <c r="I197" s="404"/>
      <c r="J197" s="405"/>
      <c r="K197" s="82" t="s">
        <v>313</v>
      </c>
      <c r="L197" s="403" t="s">
        <v>798</v>
      </c>
      <c r="M197" s="404"/>
      <c r="N197" s="405"/>
      <c r="O197" s="82" t="s">
        <v>315</v>
      </c>
      <c r="P197" s="403" t="s">
        <v>799</v>
      </c>
      <c r="Q197" s="404"/>
      <c r="R197" s="405"/>
      <c r="S197" s="82" t="s">
        <v>317</v>
      </c>
      <c r="T197" s="403" t="s">
        <v>800</v>
      </c>
      <c r="U197" s="404"/>
      <c r="V197" s="405"/>
      <c r="W197" s="82" t="s">
        <v>319</v>
      </c>
      <c r="X197" s="403" t="s">
        <v>320</v>
      </c>
      <c r="Y197" s="404"/>
      <c r="Z197" s="405"/>
      <c r="AA197" s="82" t="s">
        <v>321</v>
      </c>
      <c r="AB197" s="403" t="s">
        <v>801</v>
      </c>
      <c r="AC197" s="404"/>
      <c r="AD197" s="405"/>
      <c r="AE197" s="82" t="s">
        <v>367</v>
      </c>
      <c r="AF197" s="403" t="s">
        <v>802</v>
      </c>
      <c r="AG197" s="404"/>
      <c r="AH197" s="405"/>
      <c r="AI197" s="82" t="s">
        <v>401</v>
      </c>
      <c r="AJ197" s="403" t="s">
        <v>803</v>
      </c>
      <c r="AK197" s="404"/>
      <c r="AL197" s="405"/>
      <c r="AM197" s="82" t="s">
        <v>438</v>
      </c>
      <c r="AN197" s="403" t="s">
        <v>804</v>
      </c>
      <c r="AO197" s="404"/>
      <c r="AP197" s="405"/>
      <c r="AQ197" s="82" t="s">
        <v>472</v>
      </c>
      <c r="AR197" s="403" t="s">
        <v>505</v>
      </c>
      <c r="AS197" s="404"/>
      <c r="AT197" s="405"/>
      <c r="AU197" s="82" t="s">
        <v>506</v>
      </c>
      <c r="AV197" s="403" t="s">
        <v>805</v>
      </c>
      <c r="AW197" s="404"/>
      <c r="AX197" s="405"/>
      <c r="AY197" s="82" t="s">
        <v>540</v>
      </c>
      <c r="AZ197" s="403" t="s">
        <v>806</v>
      </c>
      <c r="BA197" s="404"/>
      <c r="BB197" s="405"/>
      <c r="BC197" s="82" t="s">
        <v>574</v>
      </c>
      <c r="BD197" s="403" t="s">
        <v>807</v>
      </c>
      <c r="BE197" s="404"/>
      <c r="BF197" s="405"/>
      <c r="BG197" s="82" t="s">
        <v>608</v>
      </c>
      <c r="BH197" s="403" t="s">
        <v>808</v>
      </c>
      <c r="BI197" s="404"/>
      <c r="BJ197" s="405"/>
      <c r="BK197" s="82" t="s">
        <v>642</v>
      </c>
      <c r="BL197" s="403" t="s">
        <v>809</v>
      </c>
      <c r="BM197" s="404"/>
      <c r="BN197" s="405"/>
      <c r="BO197" s="82" t="s">
        <v>676</v>
      </c>
    </row>
    <row r="199" spans="1:67" x14ac:dyDescent="0.35">
      <c r="A199" t="s">
        <v>93</v>
      </c>
    </row>
    <row r="200" spans="1:67" x14ac:dyDescent="0.35">
      <c r="D200" s="355">
        <f>D195</f>
        <v>2010</v>
      </c>
      <c r="E200" s="352"/>
      <c r="F200" s="352"/>
      <c r="G200" s="384"/>
      <c r="H200" s="355">
        <f>H195</f>
        <v>2011</v>
      </c>
      <c r="I200" s="352"/>
      <c r="J200" s="352"/>
      <c r="K200" s="384"/>
      <c r="L200" s="355">
        <f>L195</f>
        <v>2012</v>
      </c>
      <c r="M200" s="352"/>
      <c r="N200" s="352"/>
      <c r="O200" s="384"/>
      <c r="P200" s="355">
        <f>P195</f>
        <v>2013</v>
      </c>
      <c r="Q200" s="352"/>
      <c r="R200" s="352"/>
      <c r="S200" s="384"/>
      <c r="T200" s="355">
        <f>T195</f>
        <v>2014</v>
      </c>
      <c r="U200" s="352"/>
      <c r="V200" s="352"/>
      <c r="W200" s="384"/>
      <c r="X200" s="355">
        <f>X195</f>
        <v>2015</v>
      </c>
      <c r="Y200" s="352"/>
      <c r="Z200" s="352"/>
      <c r="AA200" s="384"/>
      <c r="AB200" s="355">
        <f>AB195</f>
        <v>2016</v>
      </c>
      <c r="AC200" s="352"/>
      <c r="AD200" s="352"/>
      <c r="AE200" s="384"/>
      <c r="AF200" s="355">
        <f>AF195</f>
        <v>2017</v>
      </c>
      <c r="AG200" s="352"/>
      <c r="AH200" s="352"/>
      <c r="AI200" s="384"/>
      <c r="AJ200" s="355">
        <f>AJ195</f>
        <v>2018</v>
      </c>
      <c r="AK200" s="352"/>
      <c r="AL200" s="352"/>
      <c r="AM200" s="384"/>
      <c r="AN200" s="355">
        <f>AN195</f>
        <v>2019</v>
      </c>
      <c r="AO200" s="352"/>
      <c r="AP200" s="352"/>
      <c r="AQ200" s="384"/>
      <c r="AR200" s="355">
        <f>AR195</f>
        <v>2020</v>
      </c>
      <c r="AS200" s="352"/>
      <c r="AT200" s="352"/>
      <c r="AU200" s="384"/>
      <c r="AV200" s="355">
        <f>AV195</f>
        <v>2021</v>
      </c>
      <c r="AW200" s="352"/>
      <c r="AX200" s="352"/>
      <c r="AY200" s="384"/>
      <c r="AZ200" s="355">
        <f>AZ195</f>
        <v>2022</v>
      </c>
      <c r="BA200" s="352"/>
      <c r="BB200" s="352"/>
      <c r="BC200" s="384"/>
      <c r="BD200" s="355">
        <f>BD195</f>
        <v>2023</v>
      </c>
      <c r="BE200" s="352"/>
      <c r="BF200" s="352"/>
      <c r="BG200" s="384"/>
      <c r="BH200" s="355">
        <f>BH195</f>
        <v>2024</v>
      </c>
      <c r="BI200" s="352"/>
      <c r="BJ200" s="352"/>
      <c r="BK200" s="384"/>
      <c r="BL200" s="355">
        <f>BL195</f>
        <v>2025</v>
      </c>
      <c r="BM200" s="352"/>
      <c r="BN200" s="352"/>
      <c r="BO200" s="384"/>
    </row>
    <row r="201" spans="1:67" x14ac:dyDescent="0.35">
      <c r="D201" s="58" t="str">
        <f>D196</f>
        <v>Upstream</v>
      </c>
      <c r="E201" s="58" t="str">
        <f t="shared" ref="E201:G201" si="633">E196</f>
        <v>Gyártás</v>
      </c>
      <c r="F201" s="58" t="str">
        <f t="shared" si="633"/>
        <v>Downstream</v>
      </c>
      <c r="G201" s="58" t="str">
        <f t="shared" si="633"/>
        <v>Összesen</v>
      </c>
      <c r="H201" s="58" t="str">
        <f>H196</f>
        <v>Upstream</v>
      </c>
      <c r="I201" s="58" t="str">
        <f t="shared" ref="I201:K201" si="634">I196</f>
        <v>Gyártás</v>
      </c>
      <c r="J201" s="58" t="str">
        <f t="shared" si="634"/>
        <v>Downstream</v>
      </c>
      <c r="K201" s="58" t="str">
        <f t="shared" si="634"/>
        <v>Összesen</v>
      </c>
      <c r="L201" s="58" t="str">
        <f>L196</f>
        <v>Upstream</v>
      </c>
      <c r="M201" s="58" t="str">
        <f t="shared" ref="M201:O201" si="635">M196</f>
        <v>Gyártás</v>
      </c>
      <c r="N201" s="58" t="str">
        <f t="shared" si="635"/>
        <v>Downstream</v>
      </c>
      <c r="O201" s="58" t="str">
        <f t="shared" si="635"/>
        <v>Összesen</v>
      </c>
      <c r="P201" s="58" t="str">
        <f>P196</f>
        <v>Upstream</v>
      </c>
      <c r="Q201" s="58" t="str">
        <f t="shared" ref="Q201:S201" si="636">Q196</f>
        <v>Gyártás</v>
      </c>
      <c r="R201" s="58" t="str">
        <f t="shared" si="636"/>
        <v>Downstream</v>
      </c>
      <c r="S201" s="58" t="str">
        <f t="shared" si="636"/>
        <v>Összesen</v>
      </c>
      <c r="T201" s="58" t="str">
        <f>T196</f>
        <v>Upstream</v>
      </c>
      <c r="U201" s="58" t="str">
        <f t="shared" ref="U201:W201" si="637">U196</f>
        <v>Gyártás</v>
      </c>
      <c r="V201" s="58" t="str">
        <f t="shared" si="637"/>
        <v>Downstream</v>
      </c>
      <c r="W201" s="58" t="str">
        <f t="shared" si="637"/>
        <v>Összesen</v>
      </c>
      <c r="X201" s="58" t="str">
        <f>X196</f>
        <v>Upstream</v>
      </c>
      <c r="Y201" s="58" t="str">
        <f t="shared" ref="Y201:AA201" si="638">Y196</f>
        <v>Gyártás</v>
      </c>
      <c r="Z201" s="58" t="str">
        <f t="shared" si="638"/>
        <v>Downstream</v>
      </c>
      <c r="AA201" s="58" t="str">
        <f t="shared" si="638"/>
        <v>Összesen</v>
      </c>
      <c r="AB201" s="58" t="str">
        <f>AB196</f>
        <v>Upstream</v>
      </c>
      <c r="AC201" s="58" t="str">
        <f t="shared" ref="AC201:AE201" si="639">AC196</f>
        <v>Gyártás</v>
      </c>
      <c r="AD201" s="58" t="str">
        <f t="shared" si="639"/>
        <v>Downstream</v>
      </c>
      <c r="AE201" s="58" t="str">
        <f t="shared" si="639"/>
        <v>Összesen</v>
      </c>
      <c r="AF201" s="58" t="str">
        <f>AF196</f>
        <v>Upstream</v>
      </c>
      <c r="AG201" s="58" t="str">
        <f t="shared" ref="AG201:AI201" si="640">AG196</f>
        <v>Gyártás</v>
      </c>
      <c r="AH201" s="58" t="str">
        <f t="shared" si="640"/>
        <v>Downstream</v>
      </c>
      <c r="AI201" s="58" t="str">
        <f t="shared" si="640"/>
        <v>Összesen</v>
      </c>
      <c r="AJ201" s="58" t="str">
        <f>AJ196</f>
        <v>Upstream</v>
      </c>
      <c r="AK201" s="58" t="str">
        <f t="shared" ref="AK201:AM201" si="641">AK196</f>
        <v>Gyártás</v>
      </c>
      <c r="AL201" s="58" t="str">
        <f t="shared" si="641"/>
        <v>Downstream</v>
      </c>
      <c r="AM201" s="58" t="str">
        <f t="shared" si="641"/>
        <v>Összesen</v>
      </c>
      <c r="AN201" s="58" t="str">
        <f>AN196</f>
        <v>Upstream</v>
      </c>
      <c r="AO201" s="58" t="str">
        <f t="shared" ref="AO201:AQ201" si="642">AO196</f>
        <v>Gyártás</v>
      </c>
      <c r="AP201" s="58" t="str">
        <f t="shared" si="642"/>
        <v>Downstream</v>
      </c>
      <c r="AQ201" s="58" t="str">
        <f t="shared" si="642"/>
        <v>Összesen</v>
      </c>
      <c r="AR201" s="58" t="str">
        <f>AR196</f>
        <v>Upstream</v>
      </c>
      <c r="AS201" s="58" t="str">
        <f t="shared" ref="AS201:AU201" si="643">AS196</f>
        <v>Gyártás</v>
      </c>
      <c r="AT201" s="58" t="str">
        <f t="shared" si="643"/>
        <v>Downstream</v>
      </c>
      <c r="AU201" s="12" t="str">
        <f t="shared" si="643"/>
        <v>Összesen</v>
      </c>
      <c r="AV201" s="58" t="str">
        <f>AV196</f>
        <v>Upstream</v>
      </c>
      <c r="AW201" s="58" t="str">
        <f t="shared" ref="AW201:AY201" si="644">AW196</f>
        <v>Gyártás</v>
      </c>
      <c r="AX201" s="58" t="str">
        <f t="shared" si="644"/>
        <v>Downstream</v>
      </c>
      <c r="AY201" s="12" t="str">
        <f t="shared" si="644"/>
        <v>Összesen</v>
      </c>
      <c r="AZ201" s="58" t="str">
        <f>AZ196</f>
        <v>Upstream</v>
      </c>
      <c r="BA201" s="58" t="str">
        <f t="shared" ref="BA201:BC201" si="645">BA196</f>
        <v>Gyártás</v>
      </c>
      <c r="BB201" s="58" t="str">
        <f t="shared" si="645"/>
        <v>Downstream</v>
      </c>
      <c r="BC201" s="12" t="str">
        <f t="shared" si="645"/>
        <v>Összesen</v>
      </c>
      <c r="BD201" s="58" t="str">
        <f>BD196</f>
        <v>Upstream</v>
      </c>
      <c r="BE201" s="58" t="str">
        <f t="shared" ref="BE201:BG201" si="646">BE196</f>
        <v>Gyártás</v>
      </c>
      <c r="BF201" s="58" t="str">
        <f t="shared" si="646"/>
        <v>Downstream</v>
      </c>
      <c r="BG201" s="12" t="str">
        <f t="shared" si="646"/>
        <v>Összesen</v>
      </c>
      <c r="BH201" s="58" t="str">
        <f>BH196</f>
        <v>Upstream</v>
      </c>
      <c r="BI201" s="58" t="str">
        <f t="shared" ref="BI201:BK201" si="647">BI196</f>
        <v>Gyártás</v>
      </c>
      <c r="BJ201" s="58" t="str">
        <f t="shared" si="647"/>
        <v>Downstream</v>
      </c>
      <c r="BK201" s="12" t="str">
        <f t="shared" si="647"/>
        <v>Összesen</v>
      </c>
      <c r="BL201" s="58" t="str">
        <f>BL196</f>
        <v>Upstream</v>
      </c>
      <c r="BM201" s="58" t="str">
        <f t="shared" ref="BM201:BO201" si="648">BM196</f>
        <v>Gyártás</v>
      </c>
      <c r="BN201" s="58" t="str">
        <f t="shared" si="648"/>
        <v>Downstream</v>
      </c>
      <c r="BO201" s="12" t="str">
        <f t="shared" si="648"/>
        <v>Összesen</v>
      </c>
    </row>
    <row r="202" spans="1:67" x14ac:dyDescent="0.35">
      <c r="D202" s="108"/>
      <c r="E202" s="107"/>
      <c r="F202" s="110"/>
      <c r="G202" s="112"/>
      <c r="H202" s="108"/>
      <c r="I202" s="107"/>
      <c r="J202" s="110"/>
      <c r="K202" s="112"/>
      <c r="L202" s="108"/>
      <c r="M202" s="107"/>
      <c r="N202" s="110"/>
      <c r="O202" s="112"/>
      <c r="P202" s="108"/>
      <c r="Q202" s="107"/>
      <c r="R202" s="110"/>
      <c r="S202" s="112"/>
      <c r="T202" s="108"/>
      <c r="U202" s="107"/>
      <c r="V202" s="110"/>
      <c r="W202" s="112"/>
      <c r="X202" s="108"/>
      <c r="Y202" s="107"/>
      <c r="Z202" s="110"/>
      <c r="AA202" s="112"/>
      <c r="AB202" s="108"/>
      <c r="AC202" s="107"/>
      <c r="AD202" s="110"/>
      <c r="AE202" s="112"/>
      <c r="AF202" s="108"/>
      <c r="AG202" s="107"/>
      <c r="AH202" s="110"/>
      <c r="AI202" s="112"/>
      <c r="AJ202" s="108"/>
      <c r="AK202" s="107"/>
      <c r="AL202" s="110"/>
      <c r="AM202" s="112"/>
      <c r="AN202" s="108"/>
      <c r="AO202" s="107"/>
      <c r="AP202" s="110"/>
      <c r="AQ202" s="112"/>
      <c r="AR202" s="400" t="s">
        <v>938</v>
      </c>
      <c r="AS202" s="401"/>
      <c r="AT202" s="402"/>
      <c r="AU202" s="51"/>
      <c r="AV202" s="400" t="s">
        <v>939</v>
      </c>
      <c r="AW202" s="401"/>
      <c r="AX202" s="402"/>
      <c r="AY202" s="51"/>
      <c r="AZ202" s="400" t="s">
        <v>940</v>
      </c>
      <c r="BA202" s="401"/>
      <c r="BB202" s="402"/>
      <c r="BC202" s="51"/>
      <c r="BD202" s="400" t="s">
        <v>941</v>
      </c>
      <c r="BE202" s="401"/>
      <c r="BF202" s="402"/>
      <c r="BG202" s="51"/>
      <c r="BH202" s="400" t="s">
        <v>942</v>
      </c>
      <c r="BI202" s="401"/>
      <c r="BJ202" s="402"/>
      <c r="BK202" s="53"/>
      <c r="BL202" s="400" t="s">
        <v>943</v>
      </c>
      <c r="BM202" s="401"/>
      <c r="BN202" s="402"/>
      <c r="BO202" s="112"/>
    </row>
    <row r="203" spans="1:67" ht="14.5" customHeight="1" x14ac:dyDescent="0.35">
      <c r="B203" t="str">
        <f t="shared" ref="B203:B213" si="649">B171</f>
        <v>0 FEGYVERES SZERVEK FOGLALKOZÁSAI</v>
      </c>
      <c r="D203" s="391" t="s">
        <v>161</v>
      </c>
      <c r="E203" s="391"/>
      <c r="F203" s="392"/>
      <c r="G203" s="395" t="s">
        <v>127</v>
      </c>
      <c r="H203" s="391" t="s">
        <v>725</v>
      </c>
      <c r="I203" s="391"/>
      <c r="J203" s="392"/>
      <c r="K203" s="395" t="s">
        <v>726</v>
      </c>
      <c r="L203" s="391" t="s">
        <v>733</v>
      </c>
      <c r="M203" s="391"/>
      <c r="N203" s="392"/>
      <c r="O203" s="395" t="s">
        <v>734</v>
      </c>
      <c r="P203" s="391" t="s">
        <v>741</v>
      </c>
      <c r="Q203" s="391"/>
      <c r="R203" s="392"/>
      <c r="S203" s="395" t="s">
        <v>742</v>
      </c>
      <c r="T203" s="391" t="s">
        <v>749</v>
      </c>
      <c r="U203" s="391"/>
      <c r="V203" s="392"/>
      <c r="W203" s="395" t="s">
        <v>750</v>
      </c>
      <c r="X203" s="391" t="s">
        <v>757</v>
      </c>
      <c r="Y203" s="391"/>
      <c r="Z203" s="392"/>
      <c r="AA203" s="395" t="s">
        <v>758</v>
      </c>
      <c r="AB203" s="391" t="s">
        <v>765</v>
      </c>
      <c r="AC203" s="391"/>
      <c r="AD203" s="392"/>
      <c r="AE203" s="395" t="s">
        <v>766</v>
      </c>
      <c r="AF203" s="391" t="s">
        <v>773</v>
      </c>
      <c r="AG203" s="391"/>
      <c r="AH203" s="392"/>
      <c r="AI203" s="395" t="s">
        <v>774</v>
      </c>
      <c r="AJ203" s="391" t="s">
        <v>781</v>
      </c>
      <c r="AK203" s="391"/>
      <c r="AL203" s="392"/>
      <c r="AM203" s="395" t="s">
        <v>782</v>
      </c>
      <c r="AN203" s="391" t="s">
        <v>789</v>
      </c>
      <c r="AO203" s="391"/>
      <c r="AP203" s="392"/>
      <c r="AQ203" s="395" t="s">
        <v>790</v>
      </c>
      <c r="AR203" s="65" t="str">
        <f>CONCATENATE("Trend ","Ḟu"," - ",$C229," ",AR$39)</f>
        <v>Trend Ḟu - Fegyveresek 2020</v>
      </c>
      <c r="AS203" s="66" t="str">
        <f>CONCATENATE("Trend ","Ḟg"," - ",$C229," ",AR$39)</f>
        <v>Trend Ḟg - Fegyveresek 2020</v>
      </c>
      <c r="AT203" s="66" t="str">
        <f>CONCATENATE("Trend ","Ḟd"," - ",$C229," ",AR$39)</f>
        <v>Trend Ḟd - Fegyveresek 2020</v>
      </c>
      <c r="AU203" s="395" t="s">
        <v>882</v>
      </c>
      <c r="AV203" s="66" t="str">
        <f>CONCATENATE("Trend ","Ḟu"," - ",$C229," ",AV$39)</f>
        <v>Trend Ḟu - Fegyveresek 2021</v>
      </c>
      <c r="AW203" s="66" t="str">
        <f>CONCATENATE("Trend ","Ḟg"," - ",$C229," ",AV$39)</f>
        <v>Trend Ḟg - Fegyveresek 2021</v>
      </c>
      <c r="AX203" s="66" t="str">
        <f>CONCATENATE("Trend ","Ḟd"," - ",$C229," ",AV$39)</f>
        <v>Trend Ḟd - Fegyveresek 2021</v>
      </c>
      <c r="AY203" s="395" t="s">
        <v>902</v>
      </c>
      <c r="AZ203" s="65" t="str">
        <f>CONCATENATE("Trend ","Ḟu"," - ",$C229," ",AZ$39)</f>
        <v>Trend Ḟu - Fegyveresek 2022</v>
      </c>
      <c r="BA203" s="66" t="str">
        <f>CONCATENATE("Trend ","Ḟg"," - ",$C229," ",AZ$39)</f>
        <v>Trend Ḟg - Fegyveresek 2022</v>
      </c>
      <c r="BB203" s="66" t="str">
        <f>CONCATENATE("Trend ","Ḟd"," - ",$C229," ",AZ$39)</f>
        <v>Trend Ḟd - Fegyveresek 2022</v>
      </c>
      <c r="BC203" s="395" t="s">
        <v>910</v>
      </c>
      <c r="BD203" s="66" t="str">
        <f>CONCATENATE("Trend ","Ḟu"," - ",$C229," ",BD$39)</f>
        <v>Trend Ḟu - Fegyveresek 2023</v>
      </c>
      <c r="BE203" s="66" t="str">
        <f>CONCATENATE("Trend ","Ḟg"," - ",$C229," ",BD$39)</f>
        <v>Trend Ḟg - Fegyveresek 2023</v>
      </c>
      <c r="BF203" s="66" t="str">
        <f>CONCATENATE("Trend ","Ḟd"," - ",$C229," ",BD$39)</f>
        <v>Trend Ḟd - Fegyveresek 2023</v>
      </c>
      <c r="BG203" s="395" t="s">
        <v>918</v>
      </c>
      <c r="BH203" s="66" t="str">
        <f>CONCATENATE("Trend ","Ḟu"," - ",$C229," ",BH$39)</f>
        <v>Trend Ḟu - Fegyveresek 2024</v>
      </c>
      <c r="BI203" s="66" t="str">
        <f>CONCATENATE("Trend ","Ḟg"," - ",$C229," ",BH$39)</f>
        <v>Trend Ḟg - Fegyveresek 2024</v>
      </c>
      <c r="BJ203" s="66" t="str">
        <f>CONCATENATE("Trend ","Ḟd"," - ",$C229," ",BH$39)</f>
        <v>Trend Ḟd - Fegyveresek 2024</v>
      </c>
      <c r="BK203" s="395" t="s">
        <v>926</v>
      </c>
      <c r="BL203" s="66" t="str">
        <f>CONCATENATE("Trend ","Ḟu"," - ",$C229," ",BL$39)</f>
        <v>Trend Ḟu - Fegyveresek 2025</v>
      </c>
      <c r="BM203" s="66" t="str">
        <f>CONCATENATE("Trend ","Ḟg"," - ",$C229," ",BL$39)</f>
        <v>Trend Ḟg - Fegyveresek 2025</v>
      </c>
      <c r="BN203" s="66" t="str">
        <f>CONCATENATE("Trend ","Ḟd"," - ",$C229," ",BL$39)</f>
        <v>Trend Ḟd - Fegyveresek 2025</v>
      </c>
      <c r="BO203" s="395" t="s">
        <v>934</v>
      </c>
    </row>
    <row r="204" spans="1:67" x14ac:dyDescent="0.35">
      <c r="B204" t="str">
        <f t="shared" si="649"/>
        <v>1 GAZDASÁGI, IGAZGATÁSI, ÉRDEK-KÉPVISELETI VEZETŐK, TÖRVÉNYHOZÓK</v>
      </c>
      <c r="D204" s="393"/>
      <c r="E204" s="393"/>
      <c r="F204" s="394"/>
      <c r="G204" s="395"/>
      <c r="H204" s="393"/>
      <c r="I204" s="393"/>
      <c r="J204" s="394"/>
      <c r="K204" s="395"/>
      <c r="L204" s="393"/>
      <c r="M204" s="393"/>
      <c r="N204" s="394"/>
      <c r="O204" s="395"/>
      <c r="P204" s="393"/>
      <c r="Q204" s="393"/>
      <c r="R204" s="394"/>
      <c r="S204" s="395"/>
      <c r="T204" s="393"/>
      <c r="U204" s="393"/>
      <c r="V204" s="394"/>
      <c r="W204" s="395"/>
      <c r="X204" s="393"/>
      <c r="Y204" s="393"/>
      <c r="Z204" s="394"/>
      <c r="AA204" s="395"/>
      <c r="AB204" s="393"/>
      <c r="AC204" s="393"/>
      <c r="AD204" s="394"/>
      <c r="AE204" s="395"/>
      <c r="AF204" s="393"/>
      <c r="AG204" s="393"/>
      <c r="AH204" s="394"/>
      <c r="AI204" s="395"/>
      <c r="AJ204" s="393"/>
      <c r="AK204" s="393"/>
      <c r="AL204" s="394"/>
      <c r="AM204" s="395"/>
      <c r="AN204" s="393"/>
      <c r="AO204" s="393"/>
      <c r="AP204" s="394"/>
      <c r="AQ204" s="395"/>
      <c r="AR204" s="65" t="str">
        <f t="shared" ref="AR204:AR212" si="650">CONCATENATE("Trend ","Ḟu"," - ",$C230," ",AR$39)</f>
        <v>Trend Ḟu - Vezetők 2020</v>
      </c>
      <c r="AS204" s="66" t="str">
        <f t="shared" ref="AS204:AS212" si="651">CONCATENATE("Trend ","Ḟg"," - ",$C230," ",AR$39)</f>
        <v>Trend Ḟg - Vezetők 2020</v>
      </c>
      <c r="AT204" s="66" t="str">
        <f t="shared" ref="AT204:AT212" si="652">CONCATENATE("Trend ","Ḟd"," - ",$C230," ",AR$39)</f>
        <v>Trend Ḟd - Vezetők 2020</v>
      </c>
      <c r="AU204" s="395"/>
      <c r="AV204" s="66" t="str">
        <f t="shared" ref="AV204:AV212" si="653">CONCATENATE("Trend ","Ḟu"," - ",$C230," ",AV$39)</f>
        <v>Trend Ḟu - Vezetők 2021</v>
      </c>
      <c r="AW204" s="66" t="str">
        <f t="shared" ref="AW204:AW212" si="654">CONCATENATE("Trend ","Ḟg"," - ",$C230," ",AV$39)</f>
        <v>Trend Ḟg - Vezetők 2021</v>
      </c>
      <c r="AX204" s="66" t="str">
        <f t="shared" ref="AX204:AX212" si="655">CONCATENATE("Trend ","Ḟd"," - ",$C230," ",AV$39)</f>
        <v>Trend Ḟd - Vezetők 2021</v>
      </c>
      <c r="AY204" s="395"/>
      <c r="AZ204" s="65" t="str">
        <f t="shared" ref="AZ204:AZ212" si="656">CONCATENATE("Trend ","Ḟu"," - ",$C230," ",AZ$39)</f>
        <v>Trend Ḟu - Vezetők 2022</v>
      </c>
      <c r="BA204" s="66" t="str">
        <f t="shared" ref="BA204:BA212" si="657">CONCATENATE("Trend ","Ḟg"," - ",$C230," ",AZ$39)</f>
        <v>Trend Ḟg - Vezetők 2022</v>
      </c>
      <c r="BB204" s="66" t="str">
        <f t="shared" ref="BB204:BB212" si="658">CONCATENATE("Trend ","Ḟd"," - ",$C230," ",AZ$39)</f>
        <v>Trend Ḟd - Vezetők 2022</v>
      </c>
      <c r="BC204" s="395"/>
      <c r="BD204" s="66" t="str">
        <f t="shared" ref="BD204:BD212" si="659">CONCATENATE("Trend ","Ḟu"," - ",$C230," ",BD$39)</f>
        <v>Trend Ḟu - Vezetők 2023</v>
      </c>
      <c r="BE204" s="66" t="str">
        <f t="shared" ref="BE204:BE212" si="660">CONCATENATE("Trend ","Ḟg"," - ",$C230," ",BD$39)</f>
        <v>Trend Ḟg - Vezetők 2023</v>
      </c>
      <c r="BF204" s="66" t="str">
        <f t="shared" ref="BF204:BF212" si="661">CONCATENATE("Trend ","Ḟd"," - ",$C230," ",BD$39)</f>
        <v>Trend Ḟd - Vezetők 2023</v>
      </c>
      <c r="BG204" s="395"/>
      <c r="BH204" s="66" t="str">
        <f t="shared" ref="BH204:BH212" si="662">CONCATENATE("Trend ","Ḟu"," - ",$C230," ",BH$39)</f>
        <v>Trend Ḟu - Vezetők 2024</v>
      </c>
      <c r="BI204" s="66" t="str">
        <f t="shared" ref="BI204:BI212" si="663">CONCATENATE("Trend ","Ḟg"," - ",$C230," ",BH$39)</f>
        <v>Trend Ḟg - Vezetők 2024</v>
      </c>
      <c r="BJ204" s="66" t="str">
        <f t="shared" ref="BJ204:BJ212" si="664">CONCATENATE("Trend ","Ḟd"," - ",$C230," ",BH$39)</f>
        <v>Trend Ḟd - Vezetők 2024</v>
      </c>
      <c r="BK204" s="395"/>
      <c r="BL204" s="66" t="str">
        <f t="shared" ref="BL204:BL212" si="665">CONCATENATE("Trend ","Ḟu"," - ",$C230," ",BL$39)</f>
        <v>Trend Ḟu - Vezetők 2025</v>
      </c>
      <c r="BM204" s="66" t="str">
        <f t="shared" ref="BM204:BM212" si="666">CONCATENATE("Trend ","Ḟg"," - ",$C230," ",BL$39)</f>
        <v>Trend Ḟg - Vezetők 2025</v>
      </c>
      <c r="BN204" s="66" t="str">
        <f t="shared" ref="BN204:BN212" si="667">CONCATENATE("Trend ","Ḟd"," - ",$C230," ",BL$39)</f>
        <v>Trend Ḟd - Vezetők 2025</v>
      </c>
      <c r="BO204" s="395"/>
    </row>
    <row r="205" spans="1:67" x14ac:dyDescent="0.35">
      <c r="B205" t="str">
        <f t="shared" si="649"/>
        <v>2 FELSŐFOKÚ KÉPZETTSÉG ÖNÁLLÓ ALKALMAZÁSÁT IGÉNYLŐ FOGLALKOZÁSOK</v>
      </c>
      <c r="D205" s="393"/>
      <c r="E205" s="393"/>
      <c r="F205" s="394"/>
      <c r="G205" s="395"/>
      <c r="H205" s="393"/>
      <c r="I205" s="393"/>
      <c r="J205" s="394"/>
      <c r="K205" s="395"/>
      <c r="L205" s="393"/>
      <c r="M205" s="393"/>
      <c r="N205" s="394"/>
      <c r="O205" s="395"/>
      <c r="P205" s="393"/>
      <c r="Q205" s="393"/>
      <c r="R205" s="394"/>
      <c r="S205" s="395"/>
      <c r="T205" s="393"/>
      <c r="U205" s="393"/>
      <c r="V205" s="394"/>
      <c r="W205" s="395"/>
      <c r="X205" s="393"/>
      <c r="Y205" s="393"/>
      <c r="Z205" s="394"/>
      <c r="AA205" s="395"/>
      <c r="AB205" s="393"/>
      <c r="AC205" s="393"/>
      <c r="AD205" s="394"/>
      <c r="AE205" s="395"/>
      <c r="AF205" s="393"/>
      <c r="AG205" s="393"/>
      <c r="AH205" s="394"/>
      <c r="AI205" s="395"/>
      <c r="AJ205" s="393"/>
      <c r="AK205" s="393"/>
      <c r="AL205" s="394"/>
      <c r="AM205" s="395"/>
      <c r="AN205" s="393"/>
      <c r="AO205" s="393"/>
      <c r="AP205" s="394"/>
      <c r="AQ205" s="395"/>
      <c r="AR205" s="65" t="str">
        <f t="shared" si="650"/>
        <v>Trend Ḟu - Felsőfokúak 2020</v>
      </c>
      <c r="AS205" s="66" t="str">
        <f t="shared" si="651"/>
        <v>Trend Ḟg - Felsőfokúak 2020</v>
      </c>
      <c r="AT205" s="66" t="str">
        <f t="shared" si="652"/>
        <v>Trend Ḟd - Felsőfokúak 2020</v>
      </c>
      <c r="AU205" s="395"/>
      <c r="AV205" s="66" t="str">
        <f t="shared" si="653"/>
        <v>Trend Ḟu - Felsőfokúak 2021</v>
      </c>
      <c r="AW205" s="66" t="str">
        <f t="shared" si="654"/>
        <v>Trend Ḟg - Felsőfokúak 2021</v>
      </c>
      <c r="AX205" s="66" t="str">
        <f t="shared" si="655"/>
        <v>Trend Ḟd - Felsőfokúak 2021</v>
      </c>
      <c r="AY205" s="395"/>
      <c r="AZ205" s="65" t="str">
        <f t="shared" si="656"/>
        <v>Trend Ḟu - Felsőfokúak 2022</v>
      </c>
      <c r="BA205" s="66" t="str">
        <f t="shared" si="657"/>
        <v>Trend Ḟg - Felsőfokúak 2022</v>
      </c>
      <c r="BB205" s="66" t="str">
        <f t="shared" si="658"/>
        <v>Trend Ḟd - Felsőfokúak 2022</v>
      </c>
      <c r="BC205" s="395"/>
      <c r="BD205" s="66" t="str">
        <f t="shared" si="659"/>
        <v>Trend Ḟu - Felsőfokúak 2023</v>
      </c>
      <c r="BE205" s="66" t="str">
        <f t="shared" si="660"/>
        <v>Trend Ḟg - Felsőfokúak 2023</v>
      </c>
      <c r="BF205" s="66" t="str">
        <f t="shared" si="661"/>
        <v>Trend Ḟd - Felsőfokúak 2023</v>
      </c>
      <c r="BG205" s="395"/>
      <c r="BH205" s="66" t="str">
        <f t="shared" si="662"/>
        <v>Trend Ḟu - Felsőfokúak 2024</v>
      </c>
      <c r="BI205" s="66" t="str">
        <f t="shared" si="663"/>
        <v>Trend Ḟg - Felsőfokúak 2024</v>
      </c>
      <c r="BJ205" s="66" t="str">
        <f t="shared" si="664"/>
        <v>Trend Ḟd - Felsőfokúak 2024</v>
      </c>
      <c r="BK205" s="395"/>
      <c r="BL205" s="66" t="str">
        <f t="shared" si="665"/>
        <v>Trend Ḟu - Felsőfokúak 2025</v>
      </c>
      <c r="BM205" s="66" t="str">
        <f t="shared" si="666"/>
        <v>Trend Ḟg - Felsőfokúak 2025</v>
      </c>
      <c r="BN205" s="66" t="str">
        <f t="shared" si="667"/>
        <v>Trend Ḟd - Felsőfokúak 2025</v>
      </c>
      <c r="BO205" s="395"/>
    </row>
    <row r="206" spans="1:67" x14ac:dyDescent="0.35">
      <c r="B206" t="str">
        <f t="shared" si="649"/>
        <v>3 EGYÉB FELSŐFOKÚ VAGY KÖZÉPFOKÚ KÉPZETTSÉGET IGÉNYLŐ FOGLALKOZÁSOK</v>
      </c>
      <c r="D206" s="393"/>
      <c r="E206" s="393"/>
      <c r="F206" s="394"/>
      <c r="G206" s="395"/>
      <c r="H206" s="393"/>
      <c r="I206" s="393"/>
      <c r="J206" s="394"/>
      <c r="K206" s="395"/>
      <c r="L206" s="393"/>
      <c r="M206" s="393"/>
      <c r="N206" s="394"/>
      <c r="O206" s="395"/>
      <c r="P206" s="393"/>
      <c r="Q206" s="393"/>
      <c r="R206" s="394"/>
      <c r="S206" s="395"/>
      <c r="T206" s="393"/>
      <c r="U206" s="393"/>
      <c r="V206" s="394"/>
      <c r="W206" s="395"/>
      <c r="X206" s="393"/>
      <c r="Y206" s="393"/>
      <c r="Z206" s="394"/>
      <c r="AA206" s="395"/>
      <c r="AB206" s="393"/>
      <c r="AC206" s="393"/>
      <c r="AD206" s="394"/>
      <c r="AE206" s="395"/>
      <c r="AF206" s="393"/>
      <c r="AG206" s="393"/>
      <c r="AH206" s="394"/>
      <c r="AI206" s="395"/>
      <c r="AJ206" s="393"/>
      <c r="AK206" s="393"/>
      <c r="AL206" s="394"/>
      <c r="AM206" s="395"/>
      <c r="AN206" s="393"/>
      <c r="AO206" s="393"/>
      <c r="AP206" s="394"/>
      <c r="AQ206" s="395"/>
      <c r="AR206" s="65" t="str">
        <f t="shared" si="650"/>
        <v>Trend Ḟu - Egyéb felső 2020</v>
      </c>
      <c r="AS206" s="66" t="str">
        <f t="shared" si="651"/>
        <v>Trend Ḟg - Egyéb felső 2020</v>
      </c>
      <c r="AT206" s="66" t="str">
        <f t="shared" si="652"/>
        <v>Trend Ḟd - Egyéb felső 2020</v>
      </c>
      <c r="AU206" s="395"/>
      <c r="AV206" s="66" t="str">
        <f t="shared" si="653"/>
        <v>Trend Ḟu - Egyéb felső 2021</v>
      </c>
      <c r="AW206" s="66" t="str">
        <f t="shared" si="654"/>
        <v>Trend Ḟg - Egyéb felső 2021</v>
      </c>
      <c r="AX206" s="66" t="str">
        <f t="shared" si="655"/>
        <v>Trend Ḟd - Egyéb felső 2021</v>
      </c>
      <c r="AY206" s="395"/>
      <c r="AZ206" s="65" t="str">
        <f t="shared" si="656"/>
        <v>Trend Ḟu - Egyéb felső 2022</v>
      </c>
      <c r="BA206" s="66" t="str">
        <f t="shared" si="657"/>
        <v>Trend Ḟg - Egyéb felső 2022</v>
      </c>
      <c r="BB206" s="66" t="str">
        <f t="shared" si="658"/>
        <v>Trend Ḟd - Egyéb felső 2022</v>
      </c>
      <c r="BC206" s="395"/>
      <c r="BD206" s="66" t="str">
        <f t="shared" si="659"/>
        <v>Trend Ḟu - Egyéb felső 2023</v>
      </c>
      <c r="BE206" s="66" t="str">
        <f t="shared" si="660"/>
        <v>Trend Ḟg - Egyéb felső 2023</v>
      </c>
      <c r="BF206" s="66" t="str">
        <f t="shared" si="661"/>
        <v>Trend Ḟd - Egyéb felső 2023</v>
      </c>
      <c r="BG206" s="395"/>
      <c r="BH206" s="66" t="str">
        <f t="shared" si="662"/>
        <v>Trend Ḟu - Egyéb felső 2024</v>
      </c>
      <c r="BI206" s="66" t="str">
        <f t="shared" si="663"/>
        <v>Trend Ḟg - Egyéb felső 2024</v>
      </c>
      <c r="BJ206" s="66" t="str">
        <f t="shared" si="664"/>
        <v>Trend Ḟd - Egyéb felső 2024</v>
      </c>
      <c r="BK206" s="395"/>
      <c r="BL206" s="66" t="str">
        <f t="shared" si="665"/>
        <v>Trend Ḟu - Egyéb felső 2025</v>
      </c>
      <c r="BM206" s="66" t="str">
        <f t="shared" si="666"/>
        <v>Trend Ḟg - Egyéb felső 2025</v>
      </c>
      <c r="BN206" s="66" t="str">
        <f t="shared" si="667"/>
        <v>Trend Ḟd - Egyéb felső 2025</v>
      </c>
      <c r="BO206" s="395"/>
    </row>
    <row r="207" spans="1:67" x14ac:dyDescent="0.35">
      <c r="B207" t="str">
        <f t="shared" si="649"/>
        <v>4 IRODAI ÉS ÜGYVITELI (ÜGYFÉLKAPCSOLATI) FOGLALKOZÁSOK</v>
      </c>
      <c r="D207" s="393"/>
      <c r="E207" s="393"/>
      <c r="F207" s="394"/>
      <c r="G207" s="395"/>
      <c r="H207" s="393"/>
      <c r="I207" s="393"/>
      <c r="J207" s="394"/>
      <c r="K207" s="395"/>
      <c r="L207" s="393"/>
      <c r="M207" s="393"/>
      <c r="N207" s="394"/>
      <c r="O207" s="395"/>
      <c r="P207" s="393"/>
      <c r="Q207" s="393"/>
      <c r="R207" s="394"/>
      <c r="S207" s="395"/>
      <c r="T207" s="393"/>
      <c r="U207" s="393"/>
      <c r="V207" s="394"/>
      <c r="W207" s="395"/>
      <c r="X207" s="393"/>
      <c r="Y207" s="393"/>
      <c r="Z207" s="394"/>
      <c r="AA207" s="395"/>
      <c r="AB207" s="393"/>
      <c r="AC207" s="393"/>
      <c r="AD207" s="394"/>
      <c r="AE207" s="395"/>
      <c r="AF207" s="393"/>
      <c r="AG207" s="393"/>
      <c r="AH207" s="394"/>
      <c r="AI207" s="395"/>
      <c r="AJ207" s="393"/>
      <c r="AK207" s="393"/>
      <c r="AL207" s="394"/>
      <c r="AM207" s="395"/>
      <c r="AN207" s="393"/>
      <c r="AO207" s="393"/>
      <c r="AP207" s="394"/>
      <c r="AQ207" s="395"/>
      <c r="AR207" s="65" t="str">
        <f t="shared" si="650"/>
        <v>Trend Ḟu - Iroda-ügyvitel 2020</v>
      </c>
      <c r="AS207" s="66" t="str">
        <f t="shared" si="651"/>
        <v>Trend Ḟg - Iroda-ügyvitel 2020</v>
      </c>
      <c r="AT207" s="66" t="str">
        <f t="shared" si="652"/>
        <v>Trend Ḟd - Iroda-ügyvitel 2020</v>
      </c>
      <c r="AU207" s="395"/>
      <c r="AV207" s="66" t="str">
        <f t="shared" si="653"/>
        <v>Trend Ḟu - Iroda-ügyvitel 2021</v>
      </c>
      <c r="AW207" s="66" t="str">
        <f t="shared" si="654"/>
        <v>Trend Ḟg - Iroda-ügyvitel 2021</v>
      </c>
      <c r="AX207" s="66" t="str">
        <f t="shared" si="655"/>
        <v>Trend Ḟd - Iroda-ügyvitel 2021</v>
      </c>
      <c r="AY207" s="395"/>
      <c r="AZ207" s="65" t="str">
        <f t="shared" si="656"/>
        <v>Trend Ḟu - Iroda-ügyvitel 2022</v>
      </c>
      <c r="BA207" s="66" t="str">
        <f t="shared" si="657"/>
        <v>Trend Ḟg - Iroda-ügyvitel 2022</v>
      </c>
      <c r="BB207" s="66" t="str">
        <f t="shared" si="658"/>
        <v>Trend Ḟd - Iroda-ügyvitel 2022</v>
      </c>
      <c r="BC207" s="395"/>
      <c r="BD207" s="66" t="str">
        <f t="shared" si="659"/>
        <v>Trend Ḟu - Iroda-ügyvitel 2023</v>
      </c>
      <c r="BE207" s="66" t="str">
        <f t="shared" si="660"/>
        <v>Trend Ḟg - Iroda-ügyvitel 2023</v>
      </c>
      <c r="BF207" s="66" t="str">
        <f t="shared" si="661"/>
        <v>Trend Ḟd - Iroda-ügyvitel 2023</v>
      </c>
      <c r="BG207" s="395"/>
      <c r="BH207" s="66" t="str">
        <f t="shared" si="662"/>
        <v>Trend Ḟu - Iroda-ügyvitel 2024</v>
      </c>
      <c r="BI207" s="66" t="str">
        <f t="shared" si="663"/>
        <v>Trend Ḟg - Iroda-ügyvitel 2024</v>
      </c>
      <c r="BJ207" s="66" t="str">
        <f t="shared" si="664"/>
        <v>Trend Ḟd - Iroda-ügyvitel 2024</v>
      </c>
      <c r="BK207" s="395"/>
      <c r="BL207" s="66" t="str">
        <f t="shared" si="665"/>
        <v>Trend Ḟu - Iroda-ügyvitel 2025</v>
      </c>
      <c r="BM207" s="66" t="str">
        <f t="shared" si="666"/>
        <v>Trend Ḟg - Iroda-ügyvitel 2025</v>
      </c>
      <c r="BN207" s="66" t="str">
        <f t="shared" si="667"/>
        <v>Trend Ḟd - Iroda-ügyvitel 2025</v>
      </c>
      <c r="BO207" s="395"/>
    </row>
    <row r="208" spans="1:67" x14ac:dyDescent="0.35">
      <c r="B208" t="str">
        <f t="shared" si="649"/>
        <v>5 KERESKEDELMI ÉS SZOLGÁLTATÁSI FOGLALKOZÁSOK</v>
      </c>
      <c r="D208" s="393"/>
      <c r="E208" s="393"/>
      <c r="F208" s="394"/>
      <c r="G208" s="395"/>
      <c r="H208" s="393"/>
      <c r="I208" s="393"/>
      <c r="J208" s="394"/>
      <c r="K208" s="395"/>
      <c r="L208" s="393"/>
      <c r="M208" s="393"/>
      <c r="N208" s="394"/>
      <c r="O208" s="395"/>
      <c r="P208" s="393"/>
      <c r="Q208" s="393"/>
      <c r="R208" s="394"/>
      <c r="S208" s="395"/>
      <c r="T208" s="393"/>
      <c r="U208" s="393"/>
      <c r="V208" s="394"/>
      <c r="W208" s="395"/>
      <c r="X208" s="393"/>
      <c r="Y208" s="393"/>
      <c r="Z208" s="394"/>
      <c r="AA208" s="395"/>
      <c r="AB208" s="393"/>
      <c r="AC208" s="393"/>
      <c r="AD208" s="394"/>
      <c r="AE208" s="395"/>
      <c r="AF208" s="393"/>
      <c r="AG208" s="393"/>
      <c r="AH208" s="394"/>
      <c r="AI208" s="395"/>
      <c r="AJ208" s="393"/>
      <c r="AK208" s="393"/>
      <c r="AL208" s="394"/>
      <c r="AM208" s="395"/>
      <c r="AN208" s="393"/>
      <c r="AO208" s="393"/>
      <c r="AP208" s="394"/>
      <c r="AQ208" s="395"/>
      <c r="AR208" s="65" t="str">
        <f t="shared" si="650"/>
        <v>Trend Ḟu - Ker-szolg 2020</v>
      </c>
      <c r="AS208" s="66" t="str">
        <f t="shared" si="651"/>
        <v>Trend Ḟg - Ker-szolg 2020</v>
      </c>
      <c r="AT208" s="66" t="str">
        <f t="shared" si="652"/>
        <v>Trend Ḟd - Ker-szolg 2020</v>
      </c>
      <c r="AU208" s="395"/>
      <c r="AV208" s="66" t="str">
        <f t="shared" si="653"/>
        <v>Trend Ḟu - Ker-szolg 2021</v>
      </c>
      <c r="AW208" s="66" t="str">
        <f t="shared" si="654"/>
        <v>Trend Ḟg - Ker-szolg 2021</v>
      </c>
      <c r="AX208" s="66" t="str">
        <f t="shared" si="655"/>
        <v>Trend Ḟd - Ker-szolg 2021</v>
      </c>
      <c r="AY208" s="395"/>
      <c r="AZ208" s="65" t="str">
        <f t="shared" si="656"/>
        <v>Trend Ḟu - Ker-szolg 2022</v>
      </c>
      <c r="BA208" s="66" t="str">
        <f t="shared" si="657"/>
        <v>Trend Ḟg - Ker-szolg 2022</v>
      </c>
      <c r="BB208" s="66" t="str">
        <f t="shared" si="658"/>
        <v>Trend Ḟd - Ker-szolg 2022</v>
      </c>
      <c r="BC208" s="395"/>
      <c r="BD208" s="66" t="str">
        <f t="shared" si="659"/>
        <v>Trend Ḟu - Ker-szolg 2023</v>
      </c>
      <c r="BE208" s="66" t="str">
        <f t="shared" si="660"/>
        <v>Trend Ḟg - Ker-szolg 2023</v>
      </c>
      <c r="BF208" s="66" t="str">
        <f t="shared" si="661"/>
        <v>Trend Ḟd - Ker-szolg 2023</v>
      </c>
      <c r="BG208" s="395"/>
      <c r="BH208" s="66" t="str">
        <f t="shared" si="662"/>
        <v>Trend Ḟu - Ker-szolg 2024</v>
      </c>
      <c r="BI208" s="66" t="str">
        <f t="shared" si="663"/>
        <v>Trend Ḟg - Ker-szolg 2024</v>
      </c>
      <c r="BJ208" s="66" t="str">
        <f t="shared" si="664"/>
        <v>Trend Ḟd - Ker-szolg 2024</v>
      </c>
      <c r="BK208" s="395"/>
      <c r="BL208" s="66" t="str">
        <f t="shared" si="665"/>
        <v>Trend Ḟu - Ker-szolg 2025</v>
      </c>
      <c r="BM208" s="66" t="str">
        <f t="shared" si="666"/>
        <v>Trend Ḟg - Ker-szolg 2025</v>
      </c>
      <c r="BN208" s="66" t="str">
        <f t="shared" si="667"/>
        <v>Trend Ḟd - Ker-szolg 2025</v>
      </c>
      <c r="BO208" s="395"/>
    </row>
    <row r="209" spans="2:69" x14ac:dyDescent="0.35">
      <c r="B209" t="str">
        <f t="shared" si="649"/>
        <v>6 MEZŐGAZDASÁGI ÉS ERDŐGAZDÁLKODÁSI FOGLALKOZÁSOK</v>
      </c>
      <c r="D209" s="393"/>
      <c r="E209" s="393"/>
      <c r="F209" s="394"/>
      <c r="G209" s="395"/>
      <c r="H209" s="393"/>
      <c r="I209" s="393"/>
      <c r="J209" s="394"/>
      <c r="K209" s="395"/>
      <c r="L209" s="393"/>
      <c r="M209" s="393"/>
      <c r="N209" s="394"/>
      <c r="O209" s="395"/>
      <c r="P209" s="393"/>
      <c r="Q209" s="393"/>
      <c r="R209" s="394"/>
      <c r="S209" s="395"/>
      <c r="T209" s="393"/>
      <c r="U209" s="393"/>
      <c r="V209" s="394"/>
      <c r="W209" s="395"/>
      <c r="X209" s="393"/>
      <c r="Y209" s="393"/>
      <c r="Z209" s="394"/>
      <c r="AA209" s="395"/>
      <c r="AB209" s="393"/>
      <c r="AC209" s="393"/>
      <c r="AD209" s="394"/>
      <c r="AE209" s="395"/>
      <c r="AF209" s="393"/>
      <c r="AG209" s="393"/>
      <c r="AH209" s="394"/>
      <c r="AI209" s="395"/>
      <c r="AJ209" s="393"/>
      <c r="AK209" s="393"/>
      <c r="AL209" s="394"/>
      <c r="AM209" s="395"/>
      <c r="AN209" s="393"/>
      <c r="AO209" s="393"/>
      <c r="AP209" s="394"/>
      <c r="AQ209" s="395"/>
      <c r="AR209" s="65" t="str">
        <f t="shared" si="650"/>
        <v>Trend Ḟu - Mező-erdő 2020</v>
      </c>
      <c r="AS209" s="66" t="str">
        <f t="shared" si="651"/>
        <v>Trend Ḟg - Mező-erdő 2020</v>
      </c>
      <c r="AT209" s="66" t="str">
        <f t="shared" si="652"/>
        <v>Trend Ḟd - Mező-erdő 2020</v>
      </c>
      <c r="AU209" s="395"/>
      <c r="AV209" s="66" t="str">
        <f t="shared" si="653"/>
        <v>Trend Ḟu - Mező-erdő 2021</v>
      </c>
      <c r="AW209" s="66" t="str">
        <f t="shared" si="654"/>
        <v>Trend Ḟg - Mező-erdő 2021</v>
      </c>
      <c r="AX209" s="66" t="str">
        <f t="shared" si="655"/>
        <v>Trend Ḟd - Mező-erdő 2021</v>
      </c>
      <c r="AY209" s="395"/>
      <c r="AZ209" s="65" t="str">
        <f t="shared" si="656"/>
        <v>Trend Ḟu - Mező-erdő 2022</v>
      </c>
      <c r="BA209" s="66" t="str">
        <f t="shared" si="657"/>
        <v>Trend Ḟg - Mező-erdő 2022</v>
      </c>
      <c r="BB209" s="66" t="str">
        <f t="shared" si="658"/>
        <v>Trend Ḟd - Mező-erdő 2022</v>
      </c>
      <c r="BC209" s="395"/>
      <c r="BD209" s="66" t="str">
        <f t="shared" si="659"/>
        <v>Trend Ḟu - Mező-erdő 2023</v>
      </c>
      <c r="BE209" s="66" t="str">
        <f t="shared" si="660"/>
        <v>Trend Ḟg - Mező-erdő 2023</v>
      </c>
      <c r="BF209" s="66" t="str">
        <f t="shared" si="661"/>
        <v>Trend Ḟd - Mező-erdő 2023</v>
      </c>
      <c r="BG209" s="395"/>
      <c r="BH209" s="66" t="str">
        <f t="shared" si="662"/>
        <v>Trend Ḟu - Mező-erdő 2024</v>
      </c>
      <c r="BI209" s="66" t="str">
        <f t="shared" si="663"/>
        <v>Trend Ḟg - Mező-erdő 2024</v>
      </c>
      <c r="BJ209" s="66" t="str">
        <f t="shared" si="664"/>
        <v>Trend Ḟd - Mező-erdő 2024</v>
      </c>
      <c r="BK209" s="395"/>
      <c r="BL209" s="66" t="str">
        <f t="shared" si="665"/>
        <v>Trend Ḟu - Mező-erdő 2025</v>
      </c>
      <c r="BM209" s="66" t="str">
        <f t="shared" si="666"/>
        <v>Trend Ḟg - Mező-erdő 2025</v>
      </c>
      <c r="BN209" s="66" t="str">
        <f t="shared" si="667"/>
        <v>Trend Ḟd - Mező-erdő 2025</v>
      </c>
      <c r="BO209" s="395"/>
    </row>
    <row r="210" spans="2:69" x14ac:dyDescent="0.35">
      <c r="B210" t="str">
        <f t="shared" si="649"/>
        <v>7 IPARI ÉS ÉPÍTŐIPARI FOGLALKOZÁSOK</v>
      </c>
      <c r="D210" s="393"/>
      <c r="E210" s="393"/>
      <c r="F210" s="394"/>
      <c r="G210" s="395"/>
      <c r="H210" s="393"/>
      <c r="I210" s="393"/>
      <c r="J210" s="394"/>
      <c r="K210" s="395"/>
      <c r="L210" s="393"/>
      <c r="M210" s="393"/>
      <c r="N210" s="394"/>
      <c r="O210" s="395"/>
      <c r="P210" s="393"/>
      <c r="Q210" s="393"/>
      <c r="R210" s="394"/>
      <c r="S210" s="395"/>
      <c r="T210" s="393"/>
      <c r="U210" s="393"/>
      <c r="V210" s="394"/>
      <c r="W210" s="395"/>
      <c r="X210" s="393"/>
      <c r="Y210" s="393"/>
      <c r="Z210" s="394"/>
      <c r="AA210" s="395"/>
      <c r="AB210" s="393"/>
      <c r="AC210" s="393"/>
      <c r="AD210" s="394"/>
      <c r="AE210" s="395"/>
      <c r="AF210" s="393"/>
      <c r="AG210" s="393"/>
      <c r="AH210" s="394"/>
      <c r="AI210" s="395"/>
      <c r="AJ210" s="393"/>
      <c r="AK210" s="393"/>
      <c r="AL210" s="394"/>
      <c r="AM210" s="395"/>
      <c r="AN210" s="393"/>
      <c r="AO210" s="393"/>
      <c r="AP210" s="394"/>
      <c r="AQ210" s="395"/>
      <c r="AR210" s="65" t="str">
        <f t="shared" si="650"/>
        <v>Trend Ḟu - ipar-épip. 2020</v>
      </c>
      <c r="AS210" s="66" t="str">
        <f t="shared" si="651"/>
        <v>Trend Ḟg - ipar-épip. 2020</v>
      </c>
      <c r="AT210" s="66" t="str">
        <f t="shared" si="652"/>
        <v>Trend Ḟd - ipar-épip. 2020</v>
      </c>
      <c r="AU210" s="395"/>
      <c r="AV210" s="66" t="str">
        <f t="shared" si="653"/>
        <v>Trend Ḟu - ipar-épip. 2021</v>
      </c>
      <c r="AW210" s="66" t="str">
        <f t="shared" si="654"/>
        <v>Trend Ḟg - ipar-épip. 2021</v>
      </c>
      <c r="AX210" s="66" t="str">
        <f t="shared" si="655"/>
        <v>Trend Ḟd - ipar-épip. 2021</v>
      </c>
      <c r="AY210" s="395"/>
      <c r="AZ210" s="65" t="str">
        <f t="shared" si="656"/>
        <v>Trend Ḟu - ipar-épip. 2022</v>
      </c>
      <c r="BA210" s="66" t="str">
        <f t="shared" si="657"/>
        <v>Trend Ḟg - ipar-épip. 2022</v>
      </c>
      <c r="BB210" s="66" t="str">
        <f t="shared" si="658"/>
        <v>Trend Ḟd - ipar-épip. 2022</v>
      </c>
      <c r="BC210" s="395"/>
      <c r="BD210" s="66" t="str">
        <f t="shared" si="659"/>
        <v>Trend Ḟu - ipar-épip. 2023</v>
      </c>
      <c r="BE210" s="66" t="str">
        <f t="shared" si="660"/>
        <v>Trend Ḟg - ipar-épip. 2023</v>
      </c>
      <c r="BF210" s="66" t="str">
        <f t="shared" si="661"/>
        <v>Trend Ḟd - ipar-épip. 2023</v>
      </c>
      <c r="BG210" s="395"/>
      <c r="BH210" s="66" t="str">
        <f t="shared" si="662"/>
        <v>Trend Ḟu - ipar-épip. 2024</v>
      </c>
      <c r="BI210" s="66" t="str">
        <f t="shared" si="663"/>
        <v>Trend Ḟg - ipar-épip. 2024</v>
      </c>
      <c r="BJ210" s="66" t="str">
        <f t="shared" si="664"/>
        <v>Trend Ḟd - ipar-épip. 2024</v>
      </c>
      <c r="BK210" s="395"/>
      <c r="BL210" s="66" t="str">
        <f t="shared" si="665"/>
        <v>Trend Ḟu - ipar-épip. 2025</v>
      </c>
      <c r="BM210" s="66" t="str">
        <f t="shared" si="666"/>
        <v>Trend Ḟg - ipar-épip. 2025</v>
      </c>
      <c r="BN210" s="66" t="str">
        <f t="shared" si="667"/>
        <v>Trend Ḟd - ipar-épip. 2025</v>
      </c>
      <c r="BO210" s="395"/>
    </row>
    <row r="211" spans="2:69" x14ac:dyDescent="0.35">
      <c r="B211" t="str">
        <f t="shared" si="649"/>
        <v>8 GÉPKEZELŐK, ÖSSZESZERELŐK, JÁRMŰVEZETŐK</v>
      </c>
      <c r="D211" s="393"/>
      <c r="E211" s="393"/>
      <c r="F211" s="394"/>
      <c r="G211" s="395"/>
      <c r="H211" s="393"/>
      <c r="I211" s="393"/>
      <c r="J211" s="394"/>
      <c r="K211" s="395"/>
      <c r="L211" s="393"/>
      <c r="M211" s="393"/>
      <c r="N211" s="394"/>
      <c r="O211" s="395"/>
      <c r="P211" s="393"/>
      <c r="Q211" s="393"/>
      <c r="R211" s="394"/>
      <c r="S211" s="395"/>
      <c r="T211" s="393"/>
      <c r="U211" s="393"/>
      <c r="V211" s="394"/>
      <c r="W211" s="395"/>
      <c r="X211" s="393"/>
      <c r="Y211" s="393"/>
      <c r="Z211" s="394"/>
      <c r="AA211" s="395"/>
      <c r="AB211" s="393"/>
      <c r="AC211" s="393"/>
      <c r="AD211" s="394"/>
      <c r="AE211" s="395"/>
      <c r="AF211" s="393"/>
      <c r="AG211" s="393"/>
      <c r="AH211" s="394"/>
      <c r="AI211" s="395"/>
      <c r="AJ211" s="393"/>
      <c r="AK211" s="393"/>
      <c r="AL211" s="394"/>
      <c r="AM211" s="395"/>
      <c r="AN211" s="393"/>
      <c r="AO211" s="393"/>
      <c r="AP211" s="394"/>
      <c r="AQ211" s="395"/>
      <c r="AR211" s="65" t="str">
        <f t="shared" si="650"/>
        <v>Trend Ḟu - Összeszerelők 2020</v>
      </c>
      <c r="AS211" s="66" t="str">
        <f t="shared" si="651"/>
        <v>Trend Ḟg - Összeszerelők 2020</v>
      </c>
      <c r="AT211" s="66" t="str">
        <f t="shared" si="652"/>
        <v>Trend Ḟd - Összeszerelők 2020</v>
      </c>
      <c r="AU211" s="395"/>
      <c r="AV211" s="66" t="str">
        <f t="shared" si="653"/>
        <v>Trend Ḟu - Összeszerelők 2021</v>
      </c>
      <c r="AW211" s="66" t="str">
        <f t="shared" si="654"/>
        <v>Trend Ḟg - Összeszerelők 2021</v>
      </c>
      <c r="AX211" s="66" t="str">
        <f t="shared" si="655"/>
        <v>Trend Ḟd - Összeszerelők 2021</v>
      </c>
      <c r="AY211" s="395"/>
      <c r="AZ211" s="65" t="str">
        <f t="shared" si="656"/>
        <v>Trend Ḟu - Összeszerelők 2022</v>
      </c>
      <c r="BA211" s="66" t="str">
        <f t="shared" si="657"/>
        <v>Trend Ḟg - Összeszerelők 2022</v>
      </c>
      <c r="BB211" s="66" t="str">
        <f t="shared" si="658"/>
        <v>Trend Ḟd - Összeszerelők 2022</v>
      </c>
      <c r="BC211" s="395"/>
      <c r="BD211" s="66" t="str">
        <f t="shared" si="659"/>
        <v>Trend Ḟu - Összeszerelők 2023</v>
      </c>
      <c r="BE211" s="66" t="str">
        <f t="shared" si="660"/>
        <v>Trend Ḟg - Összeszerelők 2023</v>
      </c>
      <c r="BF211" s="66" t="str">
        <f t="shared" si="661"/>
        <v>Trend Ḟd - Összeszerelők 2023</v>
      </c>
      <c r="BG211" s="395"/>
      <c r="BH211" s="66" t="str">
        <f t="shared" si="662"/>
        <v>Trend Ḟu - Összeszerelők 2024</v>
      </c>
      <c r="BI211" s="66" t="str">
        <f t="shared" si="663"/>
        <v>Trend Ḟg - Összeszerelők 2024</v>
      </c>
      <c r="BJ211" s="66" t="str">
        <f t="shared" si="664"/>
        <v>Trend Ḟd - Összeszerelők 2024</v>
      </c>
      <c r="BK211" s="395"/>
      <c r="BL211" s="66" t="str">
        <f t="shared" si="665"/>
        <v>Trend Ḟu - Összeszerelők 2025</v>
      </c>
      <c r="BM211" s="66" t="str">
        <f t="shared" si="666"/>
        <v>Trend Ḟg - Összeszerelők 2025</v>
      </c>
      <c r="BN211" s="66" t="str">
        <f t="shared" si="667"/>
        <v>Trend Ḟd - Összeszerelők 2025</v>
      </c>
      <c r="BO211" s="395"/>
    </row>
    <row r="212" spans="2:69" x14ac:dyDescent="0.35">
      <c r="B212" t="str">
        <f t="shared" si="649"/>
        <v>9 SZAKKÉPZETTSÉGET NEM IGÉNYLŐ (EGYSZERŰ) FOGLALKOZÁSOK</v>
      </c>
      <c r="D212" s="393"/>
      <c r="E212" s="393"/>
      <c r="F212" s="394"/>
      <c r="G212" s="396"/>
      <c r="H212" s="393"/>
      <c r="I212" s="393"/>
      <c r="J212" s="394"/>
      <c r="K212" s="396"/>
      <c r="L212" s="393"/>
      <c r="M212" s="393"/>
      <c r="N212" s="394"/>
      <c r="O212" s="396"/>
      <c r="P212" s="393"/>
      <c r="Q212" s="393"/>
      <c r="R212" s="394"/>
      <c r="S212" s="396"/>
      <c r="T212" s="393"/>
      <c r="U212" s="393"/>
      <c r="V212" s="394"/>
      <c r="W212" s="396"/>
      <c r="X212" s="393"/>
      <c r="Y212" s="393"/>
      <c r="Z212" s="394"/>
      <c r="AA212" s="396"/>
      <c r="AB212" s="393"/>
      <c r="AC212" s="393"/>
      <c r="AD212" s="394"/>
      <c r="AE212" s="396"/>
      <c r="AF212" s="393"/>
      <c r="AG212" s="393"/>
      <c r="AH212" s="394"/>
      <c r="AI212" s="396"/>
      <c r="AJ212" s="393"/>
      <c r="AK212" s="393"/>
      <c r="AL212" s="394"/>
      <c r="AM212" s="396"/>
      <c r="AN212" s="393"/>
      <c r="AO212" s="393"/>
      <c r="AP212" s="394"/>
      <c r="AQ212" s="396"/>
      <c r="AR212" s="67" t="str">
        <f t="shared" si="650"/>
        <v>Trend Ḟu - szakképzetlen 2020</v>
      </c>
      <c r="AS212" s="68" t="str">
        <f t="shared" si="651"/>
        <v>Trend Ḟg - szakképzetlen 2020</v>
      </c>
      <c r="AT212" s="68" t="str">
        <f t="shared" si="652"/>
        <v>Trend Ḟd - szakképzetlen 2020</v>
      </c>
      <c r="AU212" s="396"/>
      <c r="AV212" s="68" t="str">
        <f t="shared" si="653"/>
        <v>Trend Ḟu - szakképzetlen 2021</v>
      </c>
      <c r="AW212" s="68" t="str">
        <f t="shared" si="654"/>
        <v>Trend Ḟg - szakképzetlen 2021</v>
      </c>
      <c r="AX212" s="68" t="str">
        <f t="shared" si="655"/>
        <v>Trend Ḟd - szakképzetlen 2021</v>
      </c>
      <c r="AY212" s="396"/>
      <c r="AZ212" s="67" t="str">
        <f t="shared" si="656"/>
        <v>Trend Ḟu - szakképzetlen 2022</v>
      </c>
      <c r="BA212" s="68" t="str">
        <f t="shared" si="657"/>
        <v>Trend Ḟg - szakképzetlen 2022</v>
      </c>
      <c r="BB212" s="68" t="str">
        <f t="shared" si="658"/>
        <v>Trend Ḟd - szakképzetlen 2022</v>
      </c>
      <c r="BC212" s="396"/>
      <c r="BD212" s="68" t="str">
        <f t="shared" si="659"/>
        <v>Trend Ḟu - szakképzetlen 2023</v>
      </c>
      <c r="BE212" s="68" t="str">
        <f t="shared" si="660"/>
        <v>Trend Ḟg - szakképzetlen 2023</v>
      </c>
      <c r="BF212" s="68" t="str">
        <f t="shared" si="661"/>
        <v>Trend Ḟd - szakképzetlen 2023</v>
      </c>
      <c r="BG212" s="396"/>
      <c r="BH212" s="68" t="str">
        <f t="shared" si="662"/>
        <v>Trend Ḟu - szakképzetlen 2024</v>
      </c>
      <c r="BI212" s="68" t="str">
        <f t="shared" si="663"/>
        <v>Trend Ḟg - szakképzetlen 2024</v>
      </c>
      <c r="BJ212" s="68" t="str">
        <f t="shared" si="664"/>
        <v>Trend Ḟd - szakképzetlen 2024</v>
      </c>
      <c r="BK212" s="396"/>
      <c r="BL212" s="68" t="str">
        <f t="shared" si="665"/>
        <v>Trend Ḟu - szakképzetlen 2025</v>
      </c>
      <c r="BM212" s="68" t="str">
        <f t="shared" si="666"/>
        <v>Trend Ḟg - szakképzetlen 2025</v>
      </c>
      <c r="BN212" s="68" t="str">
        <f t="shared" si="667"/>
        <v>Trend Ḟd - szakképzetlen 2025</v>
      </c>
      <c r="BO212" s="396"/>
    </row>
    <row r="213" spans="2:69" ht="27.65" customHeight="1" x14ac:dyDescent="0.35">
      <c r="B213" t="str">
        <f t="shared" si="649"/>
        <v>Összesen</v>
      </c>
      <c r="D213" s="393" t="s">
        <v>125</v>
      </c>
      <c r="E213" s="393"/>
      <c r="F213" s="394"/>
      <c r="G213" s="109" t="s">
        <v>129</v>
      </c>
      <c r="H213" s="393" t="s">
        <v>727</v>
      </c>
      <c r="I213" s="393"/>
      <c r="J213" s="394"/>
      <c r="K213" s="109" t="s">
        <v>728</v>
      </c>
      <c r="L213" s="393" t="s">
        <v>735</v>
      </c>
      <c r="M213" s="393"/>
      <c r="N213" s="394"/>
      <c r="O213" s="109" t="s">
        <v>736</v>
      </c>
      <c r="P213" s="393" t="s">
        <v>743</v>
      </c>
      <c r="Q213" s="393"/>
      <c r="R213" s="394"/>
      <c r="S213" s="109" t="s">
        <v>744</v>
      </c>
      <c r="T213" s="393" t="s">
        <v>751</v>
      </c>
      <c r="U213" s="393"/>
      <c r="V213" s="394"/>
      <c r="W213" s="109" t="s">
        <v>752</v>
      </c>
      <c r="X213" s="393" t="s">
        <v>759</v>
      </c>
      <c r="Y213" s="393"/>
      <c r="Z213" s="394"/>
      <c r="AA213" s="109" t="s">
        <v>760</v>
      </c>
      <c r="AB213" s="393" t="s">
        <v>767</v>
      </c>
      <c r="AC213" s="393"/>
      <c r="AD213" s="394"/>
      <c r="AE213" s="109" t="s">
        <v>768</v>
      </c>
      <c r="AF213" s="393" t="s">
        <v>775</v>
      </c>
      <c r="AG213" s="393"/>
      <c r="AH213" s="394"/>
      <c r="AI213" s="109" t="s">
        <v>776</v>
      </c>
      <c r="AJ213" s="393" t="s">
        <v>783</v>
      </c>
      <c r="AK213" s="393"/>
      <c r="AL213" s="394"/>
      <c r="AM213" s="109" t="s">
        <v>784</v>
      </c>
      <c r="AN213" s="393" t="s">
        <v>791</v>
      </c>
      <c r="AO213" s="393"/>
      <c r="AP213" s="394"/>
      <c r="AQ213" s="109" t="s">
        <v>792</v>
      </c>
      <c r="AR213" s="104" t="str">
        <f>CONCATENATE("SZUM( Trend Ḟu Fegyveresek … Szakképzetlen) ", AR200)</f>
        <v>SZUM( Trend Ḟu Fegyveresek … Szakképzetlen) 2020</v>
      </c>
      <c r="AS213" s="103" t="str">
        <f>CONCATENATE("SZUM( Trend Ḟg Fegyveresek … Szakképzetlen) ", AR200)</f>
        <v>SZUM( Trend Ḟg Fegyveresek … Szakképzetlen) 2020</v>
      </c>
      <c r="AT213" s="103" t="str">
        <f>CONCATENATE("SZUM( Trend Ḟd Fegyveresek … Szakképzetlen) ",AR200)</f>
        <v>SZUM( Trend Ḟd Fegyveresek … Szakképzetlen) 2020</v>
      </c>
      <c r="AU213" s="114" t="s">
        <v>883</v>
      </c>
      <c r="AV213" s="103" t="str">
        <f>CONCATENATE("SZUM( Trend Ḟu Fegyveresek … Szakképzetlen) ", AV200)</f>
        <v>SZUM( Trend Ḟu Fegyveresek … Szakképzetlen) 2021</v>
      </c>
      <c r="AW213" s="103" t="str">
        <f>CONCATENATE("SZUM( Trend Ḟg Fegyveresek … Szakképzetlen) ", AV200)</f>
        <v>SZUM( Trend Ḟg Fegyveresek … Szakképzetlen) 2021</v>
      </c>
      <c r="AX213" s="103" t="str">
        <f>CONCATENATE("SZUM( Trend Ḟd Fegyveresek … Szakképzetlen) ",AV200)</f>
        <v>SZUM( Trend Ḟd Fegyveresek … Szakképzetlen) 2021</v>
      </c>
      <c r="AY213" s="114" t="s">
        <v>903</v>
      </c>
      <c r="AZ213" s="104" t="str">
        <f>CONCATENATE("SZUM( Trend Ḟu Fegyveresek … Szakképzetlen) ", AZ200)</f>
        <v>SZUM( Trend Ḟu Fegyveresek … Szakképzetlen) 2022</v>
      </c>
      <c r="BA213" s="103" t="str">
        <f>CONCATENATE("SZUM( Trend Ḟg Fegyveresek … Szakképzetlen) ", AZ200)</f>
        <v>SZUM( Trend Ḟg Fegyveresek … Szakképzetlen) 2022</v>
      </c>
      <c r="BB213" s="103" t="str">
        <f>CONCATENATE("SZUM( Trend Ḟd Fegyveresek … Szakképzetlen) ",AZ200)</f>
        <v>SZUM( Trend Ḟd Fegyveresek … Szakképzetlen) 2022</v>
      </c>
      <c r="BC213" s="114" t="s">
        <v>911</v>
      </c>
      <c r="BD213" s="103" t="str">
        <f>CONCATENATE("SZUM( Trend Ḟu Fegyveresek … Szakképzetlen) ", BD200)</f>
        <v>SZUM( Trend Ḟu Fegyveresek … Szakképzetlen) 2023</v>
      </c>
      <c r="BE213" s="103" t="str">
        <f>CONCATENATE("SZUM( Trend Ḟg Fegyveresek … Szakképzetlen) ", BD200)</f>
        <v>SZUM( Trend Ḟg Fegyveresek … Szakképzetlen) 2023</v>
      </c>
      <c r="BF213" s="103" t="str">
        <f>CONCATENATE("SZUM( Trend Ḟd Fegyveresek … Szakképzetlen) ",BD200)</f>
        <v>SZUM( Trend Ḟd Fegyveresek … Szakképzetlen) 2023</v>
      </c>
      <c r="BG213" s="114" t="s">
        <v>919</v>
      </c>
      <c r="BH213" s="103" t="str">
        <f>CONCATENATE("SZUM( Trend Ḟu Fegyveresek … Szakképzetlen) ", BH200)</f>
        <v>SZUM( Trend Ḟu Fegyveresek … Szakképzetlen) 2024</v>
      </c>
      <c r="BI213" s="103" t="str">
        <f>CONCATENATE("SZUM( Trend Ḟg Fegyveresek … Szakképzetlen) ", BH200)</f>
        <v>SZUM( Trend Ḟg Fegyveresek … Szakképzetlen) 2024</v>
      </c>
      <c r="BJ213" s="103" t="str">
        <f>CONCATENATE("SZUM( Trend Ḟd Fegyveresek … Szakképzetlen) ",BH200)</f>
        <v>SZUM( Trend Ḟd Fegyveresek … Szakképzetlen) 2024</v>
      </c>
      <c r="BK213" s="114" t="s">
        <v>927</v>
      </c>
      <c r="BL213" s="103" t="str">
        <f>CONCATENATE("SZUM( Trend Ḟu Fegyveresek … Szakképzetlen) ", BL200)</f>
        <v>SZUM( Trend Ḟu Fegyveresek … Szakképzetlen) 2025</v>
      </c>
      <c r="BM213" s="103" t="str">
        <f>CONCATENATE("SZUM( Trend Ḟg Fegyveresek … Szakképzetlen) ", BL200)</f>
        <v>SZUM( Trend Ḟg Fegyveresek … Szakképzetlen) 2025</v>
      </c>
      <c r="BN213" s="103" t="str">
        <f>CONCATENATE("SZUM( Trend Ḟd Fegyveresek … Szakképzetlen) ",BL200)</f>
        <v>SZUM( Trend Ḟd Fegyveresek … Szakképzetlen) 2025</v>
      </c>
      <c r="BO213" s="114" t="s">
        <v>935</v>
      </c>
    </row>
    <row r="214" spans="2:69" x14ac:dyDescent="0.35">
      <c r="D214" s="60"/>
      <c r="E214" s="54"/>
      <c r="F214" s="111"/>
      <c r="G214" s="113"/>
      <c r="H214" s="60"/>
      <c r="I214" s="54"/>
      <c r="J214" s="111"/>
      <c r="K214" s="113"/>
      <c r="L214" s="60"/>
      <c r="M214" s="54"/>
      <c r="N214" s="111"/>
      <c r="O214" s="113"/>
      <c r="P214" s="60"/>
      <c r="Q214" s="54"/>
      <c r="R214" s="111"/>
      <c r="S214" s="113"/>
      <c r="T214" s="60"/>
      <c r="U214" s="54"/>
      <c r="V214" s="111"/>
      <c r="W214" s="113"/>
      <c r="X214" s="60"/>
      <c r="Y214" s="54"/>
      <c r="Z214" s="111"/>
      <c r="AA214" s="113"/>
      <c r="AB214" s="60"/>
      <c r="AC214" s="54"/>
      <c r="AD214" s="111"/>
      <c r="AE214" s="113"/>
      <c r="AF214" s="60"/>
      <c r="AG214" s="54"/>
      <c r="AH214" s="111"/>
      <c r="AI214" s="113"/>
      <c r="AJ214" s="60"/>
      <c r="AK214" s="54"/>
      <c r="AL214" s="111"/>
      <c r="AM214" s="113"/>
      <c r="AN214" s="60"/>
      <c r="AO214" s="54"/>
      <c r="AP214" s="111"/>
      <c r="AQ214" s="113"/>
      <c r="AR214" s="397" t="s">
        <v>944</v>
      </c>
      <c r="AS214" s="398"/>
      <c r="AT214" s="399"/>
      <c r="AU214" s="11"/>
      <c r="AV214" s="397" t="s">
        <v>945</v>
      </c>
      <c r="AW214" s="398"/>
      <c r="AX214" s="399"/>
      <c r="AY214" s="11"/>
      <c r="AZ214" s="397" t="s">
        <v>946</v>
      </c>
      <c r="BA214" s="398"/>
      <c r="BB214" s="399"/>
      <c r="BC214" s="11"/>
      <c r="BD214" s="397" t="s">
        <v>947</v>
      </c>
      <c r="BE214" s="398"/>
      <c r="BF214" s="399"/>
      <c r="BG214" s="11"/>
      <c r="BH214" s="397" t="s">
        <v>948</v>
      </c>
      <c r="BI214" s="398"/>
      <c r="BJ214" s="399"/>
      <c r="BK214" s="11"/>
      <c r="BL214" s="397" t="s">
        <v>949</v>
      </c>
      <c r="BM214" s="398"/>
      <c r="BN214" s="399"/>
      <c r="BO214" s="13"/>
      <c r="BP214" s="54"/>
      <c r="BQ214" s="54"/>
    </row>
    <row r="215" spans="2:69" ht="14.5" customHeight="1" x14ac:dyDescent="0.35">
      <c r="B215" t="str">
        <f t="shared" ref="B215:B222" si="668">B183</f>
        <v>I1 Általános Iskola 0-7 osztály</v>
      </c>
      <c r="D215" s="391" t="s">
        <v>162</v>
      </c>
      <c r="E215" s="391"/>
      <c r="F215" s="392"/>
      <c r="G215" s="395" t="s">
        <v>128</v>
      </c>
      <c r="H215" s="391" t="s">
        <v>729</v>
      </c>
      <c r="I215" s="391"/>
      <c r="J215" s="392"/>
      <c r="K215" s="395" t="s">
        <v>730</v>
      </c>
      <c r="L215" s="391" t="s">
        <v>737</v>
      </c>
      <c r="M215" s="391"/>
      <c r="N215" s="392"/>
      <c r="O215" s="395" t="s">
        <v>738</v>
      </c>
      <c r="P215" s="391" t="s">
        <v>745</v>
      </c>
      <c r="Q215" s="391"/>
      <c r="R215" s="392"/>
      <c r="S215" s="395" t="s">
        <v>746</v>
      </c>
      <c r="T215" s="391" t="s">
        <v>753</v>
      </c>
      <c r="U215" s="391"/>
      <c r="V215" s="392"/>
      <c r="W215" s="395" t="s">
        <v>754</v>
      </c>
      <c r="X215" s="391" t="s">
        <v>761</v>
      </c>
      <c r="Y215" s="391"/>
      <c r="Z215" s="392"/>
      <c r="AA215" s="395" t="s">
        <v>762</v>
      </c>
      <c r="AB215" s="391" t="s">
        <v>769</v>
      </c>
      <c r="AC215" s="391"/>
      <c r="AD215" s="392"/>
      <c r="AE215" s="395" t="s">
        <v>770</v>
      </c>
      <c r="AF215" s="391" t="s">
        <v>777</v>
      </c>
      <c r="AG215" s="391"/>
      <c r="AH215" s="392"/>
      <c r="AI215" s="395" t="s">
        <v>778</v>
      </c>
      <c r="AJ215" s="391" t="s">
        <v>785</v>
      </c>
      <c r="AK215" s="391"/>
      <c r="AL215" s="392"/>
      <c r="AM215" s="395" t="s">
        <v>786</v>
      </c>
      <c r="AN215" s="391" t="s">
        <v>793</v>
      </c>
      <c r="AO215" s="391"/>
      <c r="AP215" s="392"/>
      <c r="AQ215" s="395" t="s">
        <v>794</v>
      </c>
      <c r="AR215" s="65" t="str">
        <f>CONCATENATE("Trend ","Ėu"," - ",$C242," ",AR$39)</f>
        <v>Trend Ėu - 0-7 osztály 2020</v>
      </c>
      <c r="AS215" s="66" t="str">
        <f>CONCATENATE("Trend ","Ėg"," - ",$C242," ",AR$39)</f>
        <v>Trend Ėg - 0-7 osztály 2020</v>
      </c>
      <c r="AT215" s="66" t="str">
        <f>CONCATENATE("Trend ","Ėd"," - ",$C242," ",AR$39)</f>
        <v>Trend Ėd - 0-7 osztály 2020</v>
      </c>
      <c r="AU215" s="395" t="s">
        <v>884</v>
      </c>
      <c r="AV215" s="66" t="str">
        <f>CONCATENATE("Trend ","Ėu"," - ",$C242," ",AV$39)</f>
        <v>Trend Ėu - 0-7 osztály 2021</v>
      </c>
      <c r="AW215" s="66" t="str">
        <f>CONCATENATE("Trend ","Ėg"," - ",$C242," ",AV$39)</f>
        <v>Trend Ėg - 0-7 osztály 2021</v>
      </c>
      <c r="AX215" s="66" t="str">
        <f>CONCATENATE("Trend ","Ėd"," - ",$C242," ",AV$39)</f>
        <v>Trend Ėd - 0-7 osztály 2021</v>
      </c>
      <c r="AY215" s="395" t="s">
        <v>904</v>
      </c>
      <c r="AZ215" s="65" t="str">
        <f>CONCATENATE("Trend ","Ėu"," - ",$C242," ",AZ$39)</f>
        <v>Trend Ėu - 0-7 osztály 2022</v>
      </c>
      <c r="BA215" s="66" t="str">
        <f>CONCATENATE("Trend ","Ėg"," - ",$C242," ",AZ$39)</f>
        <v>Trend Ėg - 0-7 osztály 2022</v>
      </c>
      <c r="BB215" s="66" t="str">
        <f>CONCATENATE("Trend ","Ėd"," - ",$C242," ",AZ$39)</f>
        <v>Trend Ėd - 0-7 osztály 2022</v>
      </c>
      <c r="BC215" s="395" t="s">
        <v>912</v>
      </c>
      <c r="BD215" s="66" t="str">
        <f>CONCATENATE("Trend ","Ėu"," - ",$C242," ",BD$39)</f>
        <v>Trend Ėu - 0-7 osztály 2023</v>
      </c>
      <c r="BE215" s="66" t="str">
        <f>CONCATENATE("Trend ","Ėg"," - ",$C242," ",BD$39)</f>
        <v>Trend Ėg - 0-7 osztály 2023</v>
      </c>
      <c r="BF215" s="66" t="str">
        <f>CONCATENATE("Trend ","Ėd"," - ",$C242," ",BD$39)</f>
        <v>Trend Ėd - 0-7 osztály 2023</v>
      </c>
      <c r="BG215" s="395" t="s">
        <v>920</v>
      </c>
      <c r="BH215" s="66" t="str">
        <f>CONCATENATE("Trend ","Ėu"," - ",$C242," ",BH$39)</f>
        <v>Trend Ėu - 0-7 osztály 2024</v>
      </c>
      <c r="BI215" s="66" t="str">
        <f>CONCATENATE("Trend ","Ėg"," - ",$C242," ",BH$39)</f>
        <v>Trend Ėg - 0-7 osztály 2024</v>
      </c>
      <c r="BJ215" s="66" t="str">
        <f>CONCATENATE("Trend ","Ėd"," - ",$C242," ",BH$39)</f>
        <v>Trend Ėd - 0-7 osztály 2024</v>
      </c>
      <c r="BK215" s="395" t="s">
        <v>928</v>
      </c>
      <c r="BL215" s="66" t="str">
        <f>CONCATENATE("Trend ","Ėu"," - ",$C242," ",BL$39)</f>
        <v>Trend Ėu - 0-7 osztály 2025</v>
      </c>
      <c r="BM215" s="66" t="str">
        <f>CONCATENATE("Trend ","Ėg"," - ",$C242," ",BL$39)</f>
        <v>Trend Ėg - 0-7 osztály 2025</v>
      </c>
      <c r="BN215" s="66" t="str">
        <f>CONCATENATE("Trend ","Ėd"," - ",$C242," ",BL$39)</f>
        <v>Trend Ėd - 0-7 osztály 2025</v>
      </c>
      <c r="BO215" s="395" t="s">
        <v>936</v>
      </c>
    </row>
    <row r="216" spans="2:69" x14ac:dyDescent="0.35">
      <c r="B216" t="str">
        <f t="shared" si="668"/>
        <v>I2 Általános Iskola 8 osztály</v>
      </c>
      <c r="D216" s="393"/>
      <c r="E216" s="393"/>
      <c r="F216" s="394"/>
      <c r="G216" s="395"/>
      <c r="H216" s="393"/>
      <c r="I216" s="393"/>
      <c r="J216" s="394"/>
      <c r="K216" s="395"/>
      <c r="L216" s="393"/>
      <c r="M216" s="393"/>
      <c r="N216" s="394"/>
      <c r="O216" s="395"/>
      <c r="P216" s="393"/>
      <c r="Q216" s="393"/>
      <c r="R216" s="394"/>
      <c r="S216" s="395"/>
      <c r="T216" s="393"/>
      <c r="U216" s="393"/>
      <c r="V216" s="394"/>
      <c r="W216" s="395"/>
      <c r="X216" s="393"/>
      <c r="Y216" s="393"/>
      <c r="Z216" s="394"/>
      <c r="AA216" s="395"/>
      <c r="AB216" s="393"/>
      <c r="AC216" s="393"/>
      <c r="AD216" s="394"/>
      <c r="AE216" s="395"/>
      <c r="AF216" s="393"/>
      <c r="AG216" s="393"/>
      <c r="AH216" s="394"/>
      <c r="AI216" s="395"/>
      <c r="AJ216" s="393"/>
      <c r="AK216" s="393"/>
      <c r="AL216" s="394"/>
      <c r="AM216" s="395"/>
      <c r="AN216" s="393"/>
      <c r="AO216" s="393"/>
      <c r="AP216" s="394"/>
      <c r="AQ216" s="395"/>
      <c r="AR216" s="65" t="str">
        <f t="shared" ref="AR216:AR221" si="669">CONCATENATE("Trend ","Ėu"," - ",$C243," ",AR$39)</f>
        <v>Trend Ėu - 8 osztály 2020</v>
      </c>
      <c r="AS216" s="66" t="str">
        <f t="shared" ref="AS216:AS221" si="670">CONCATENATE("Trend ","Ėg"," - ",$C243," ",AR$39)</f>
        <v>Trend Ėg - 8 osztály 2020</v>
      </c>
      <c r="AT216" s="66" t="str">
        <f t="shared" ref="AT216:AT221" si="671">CONCATENATE("Trend ","Ėd"," - ",$C243," ",AR$39)</f>
        <v>Trend Ėd - 8 osztály 2020</v>
      </c>
      <c r="AU216" s="395"/>
      <c r="AV216" s="66" t="str">
        <f t="shared" ref="AV216:AV221" si="672">CONCATENATE("Trend ","Ėu"," - ",$C243," ",AV$39)</f>
        <v>Trend Ėu - 8 osztály 2021</v>
      </c>
      <c r="AW216" s="66" t="str">
        <f t="shared" ref="AW216:AW221" si="673">CONCATENATE("Trend ","Ėg"," - ",$C243," ",AV$39)</f>
        <v>Trend Ėg - 8 osztály 2021</v>
      </c>
      <c r="AX216" s="66" t="str">
        <f t="shared" ref="AX216:AX221" si="674">CONCATENATE("Trend ","Ėd"," - ",$C243," ",AV$39)</f>
        <v>Trend Ėd - 8 osztály 2021</v>
      </c>
      <c r="AY216" s="395"/>
      <c r="AZ216" s="65" t="str">
        <f t="shared" ref="AZ216:AZ221" si="675">CONCATENATE("Trend ","Ėu"," - ",$C243," ",AZ$39)</f>
        <v>Trend Ėu - 8 osztály 2022</v>
      </c>
      <c r="BA216" s="66" t="str">
        <f t="shared" ref="BA216:BA221" si="676">CONCATENATE("Trend ","Ėg"," - ",$C243," ",AZ$39)</f>
        <v>Trend Ėg - 8 osztály 2022</v>
      </c>
      <c r="BB216" s="66" t="str">
        <f t="shared" ref="BB216:BB221" si="677">CONCATENATE("Trend ","Ėd"," - ",$C243," ",AZ$39)</f>
        <v>Trend Ėd - 8 osztály 2022</v>
      </c>
      <c r="BC216" s="395"/>
      <c r="BD216" s="66" t="str">
        <f t="shared" ref="BD216:BD221" si="678">CONCATENATE("Trend ","Ėu"," - ",$C243," ",BD$39)</f>
        <v>Trend Ėu - 8 osztály 2023</v>
      </c>
      <c r="BE216" s="66" t="str">
        <f t="shared" ref="BE216:BE221" si="679">CONCATENATE("Trend ","Ėg"," - ",$C243," ",BD$39)</f>
        <v>Trend Ėg - 8 osztály 2023</v>
      </c>
      <c r="BF216" s="66" t="str">
        <f t="shared" ref="BF216:BF221" si="680">CONCATENATE("Trend ","Ėd"," - ",$C243," ",BD$39)</f>
        <v>Trend Ėd - 8 osztály 2023</v>
      </c>
      <c r="BG216" s="395"/>
      <c r="BH216" s="66" t="str">
        <f t="shared" ref="BH216:BH221" si="681">CONCATENATE("Trend ","Ėu"," - ",$C243," ",BH$39)</f>
        <v>Trend Ėu - 8 osztály 2024</v>
      </c>
      <c r="BI216" s="66" t="str">
        <f t="shared" ref="BI216:BI221" si="682">CONCATENATE("Trend ","Ėg"," - ",$C243," ",BH$39)</f>
        <v>Trend Ėg - 8 osztály 2024</v>
      </c>
      <c r="BJ216" s="66" t="str">
        <f t="shared" ref="BJ216:BJ221" si="683">CONCATENATE("Trend ","Ėd"," - ",$C243," ",BH$39)</f>
        <v>Trend Ėd - 8 osztály 2024</v>
      </c>
      <c r="BK216" s="395"/>
      <c r="BL216" s="66" t="str">
        <f t="shared" ref="BL216:BL221" si="684">CONCATENATE("Trend ","Ėu"," - ",$C243," ",BL$39)</f>
        <v>Trend Ėu - 8 osztály 2025</v>
      </c>
      <c r="BM216" s="66" t="str">
        <f t="shared" ref="BM216:BM221" si="685">CONCATENATE("Trend ","Ėg"," - ",$C243," ",BL$39)</f>
        <v>Trend Ėg - 8 osztály 2025</v>
      </c>
      <c r="BN216" s="66" t="str">
        <f t="shared" ref="BN216:BN221" si="686">CONCATENATE("Trend ","Ėd"," - ",$C243," ",BL$39)</f>
        <v>Trend Ėd - 8 osztály 2025</v>
      </c>
      <c r="BO216" s="395"/>
    </row>
    <row r="217" spans="2:69" x14ac:dyDescent="0.35">
      <c r="B217" t="str">
        <f t="shared" si="668"/>
        <v>I3-I5 Szakiskola, Szakmunkásképző iskola, Szakközépiskola</v>
      </c>
      <c r="D217" s="393"/>
      <c r="E217" s="393"/>
      <c r="F217" s="394"/>
      <c r="G217" s="395"/>
      <c r="H217" s="393"/>
      <c r="I217" s="393"/>
      <c r="J217" s="394"/>
      <c r="K217" s="395"/>
      <c r="L217" s="393"/>
      <c r="M217" s="393"/>
      <c r="N217" s="394"/>
      <c r="O217" s="395"/>
      <c r="P217" s="393"/>
      <c r="Q217" s="393"/>
      <c r="R217" s="394"/>
      <c r="S217" s="395"/>
      <c r="T217" s="393"/>
      <c r="U217" s="393"/>
      <c r="V217" s="394"/>
      <c r="W217" s="395"/>
      <c r="X217" s="393"/>
      <c r="Y217" s="393"/>
      <c r="Z217" s="394"/>
      <c r="AA217" s="395"/>
      <c r="AB217" s="393"/>
      <c r="AC217" s="393"/>
      <c r="AD217" s="394"/>
      <c r="AE217" s="395"/>
      <c r="AF217" s="393"/>
      <c r="AG217" s="393"/>
      <c r="AH217" s="394"/>
      <c r="AI217" s="395"/>
      <c r="AJ217" s="393"/>
      <c r="AK217" s="393"/>
      <c r="AL217" s="394"/>
      <c r="AM217" s="395"/>
      <c r="AN217" s="393"/>
      <c r="AO217" s="393"/>
      <c r="AP217" s="394"/>
      <c r="AQ217" s="395"/>
      <c r="AR217" s="65" t="str">
        <f t="shared" si="669"/>
        <v>Trend Ėu - szakiskola 2020</v>
      </c>
      <c r="AS217" s="66" t="str">
        <f t="shared" si="670"/>
        <v>Trend Ėg - szakiskola 2020</v>
      </c>
      <c r="AT217" s="66" t="str">
        <f t="shared" si="671"/>
        <v>Trend Ėd - szakiskola 2020</v>
      </c>
      <c r="AU217" s="395"/>
      <c r="AV217" s="66" t="str">
        <f t="shared" si="672"/>
        <v>Trend Ėu - szakiskola 2021</v>
      </c>
      <c r="AW217" s="66" t="str">
        <f t="shared" si="673"/>
        <v>Trend Ėg - szakiskola 2021</v>
      </c>
      <c r="AX217" s="66" t="str">
        <f t="shared" si="674"/>
        <v>Trend Ėd - szakiskola 2021</v>
      </c>
      <c r="AY217" s="395"/>
      <c r="AZ217" s="65" t="str">
        <f t="shared" si="675"/>
        <v>Trend Ėu - szakiskola 2022</v>
      </c>
      <c r="BA217" s="66" t="str">
        <f t="shared" si="676"/>
        <v>Trend Ėg - szakiskola 2022</v>
      </c>
      <c r="BB217" s="66" t="str">
        <f t="shared" si="677"/>
        <v>Trend Ėd - szakiskola 2022</v>
      </c>
      <c r="BC217" s="395"/>
      <c r="BD217" s="66" t="str">
        <f t="shared" si="678"/>
        <v>Trend Ėu - szakiskola 2023</v>
      </c>
      <c r="BE217" s="66" t="str">
        <f t="shared" si="679"/>
        <v>Trend Ėg - szakiskola 2023</v>
      </c>
      <c r="BF217" s="66" t="str">
        <f t="shared" si="680"/>
        <v>Trend Ėd - szakiskola 2023</v>
      </c>
      <c r="BG217" s="395"/>
      <c r="BH217" s="66" t="str">
        <f t="shared" si="681"/>
        <v>Trend Ėu - szakiskola 2024</v>
      </c>
      <c r="BI217" s="66" t="str">
        <f t="shared" si="682"/>
        <v>Trend Ėg - szakiskola 2024</v>
      </c>
      <c r="BJ217" s="66" t="str">
        <f t="shared" si="683"/>
        <v>Trend Ėd - szakiskola 2024</v>
      </c>
      <c r="BK217" s="395"/>
      <c r="BL217" s="66" t="str">
        <f t="shared" si="684"/>
        <v>Trend Ėu - szakiskola 2025</v>
      </c>
      <c r="BM217" s="66" t="str">
        <f t="shared" si="685"/>
        <v>Trend Ėg - szakiskola 2025</v>
      </c>
      <c r="BN217" s="66" t="str">
        <f t="shared" si="686"/>
        <v>Trend Ėd - szakiskola 2025</v>
      </c>
      <c r="BO217" s="395"/>
    </row>
    <row r="218" spans="2:69" x14ac:dyDescent="0.35">
      <c r="B218" t="str">
        <f t="shared" si="668"/>
        <v>I6 Gimnázium</v>
      </c>
      <c r="D218" s="393"/>
      <c r="E218" s="393"/>
      <c r="F218" s="394"/>
      <c r="G218" s="395"/>
      <c r="H218" s="393"/>
      <c r="I218" s="393"/>
      <c r="J218" s="394"/>
      <c r="K218" s="395"/>
      <c r="L218" s="393"/>
      <c r="M218" s="393"/>
      <c r="N218" s="394"/>
      <c r="O218" s="395"/>
      <c r="P218" s="393"/>
      <c r="Q218" s="393"/>
      <c r="R218" s="394"/>
      <c r="S218" s="395"/>
      <c r="T218" s="393"/>
      <c r="U218" s="393"/>
      <c r="V218" s="394"/>
      <c r="W218" s="395"/>
      <c r="X218" s="393"/>
      <c r="Y218" s="393"/>
      <c r="Z218" s="394"/>
      <c r="AA218" s="395"/>
      <c r="AB218" s="393"/>
      <c r="AC218" s="393"/>
      <c r="AD218" s="394"/>
      <c r="AE218" s="395"/>
      <c r="AF218" s="393"/>
      <c r="AG218" s="393"/>
      <c r="AH218" s="394"/>
      <c r="AI218" s="395"/>
      <c r="AJ218" s="393"/>
      <c r="AK218" s="393"/>
      <c r="AL218" s="394"/>
      <c r="AM218" s="395"/>
      <c r="AN218" s="393"/>
      <c r="AO218" s="393"/>
      <c r="AP218" s="394"/>
      <c r="AQ218" s="395"/>
      <c r="AR218" s="65" t="str">
        <f t="shared" si="669"/>
        <v>Trend Ėu - Gimnázium 2020</v>
      </c>
      <c r="AS218" s="66" t="str">
        <f t="shared" si="670"/>
        <v>Trend Ėg - Gimnázium 2020</v>
      </c>
      <c r="AT218" s="66" t="str">
        <f t="shared" si="671"/>
        <v>Trend Ėd - Gimnázium 2020</v>
      </c>
      <c r="AU218" s="395"/>
      <c r="AV218" s="66" t="str">
        <f t="shared" si="672"/>
        <v>Trend Ėu - Gimnázium 2021</v>
      </c>
      <c r="AW218" s="66" t="str">
        <f t="shared" si="673"/>
        <v>Trend Ėg - Gimnázium 2021</v>
      </c>
      <c r="AX218" s="66" t="str">
        <f t="shared" si="674"/>
        <v>Trend Ėd - Gimnázium 2021</v>
      </c>
      <c r="AY218" s="395"/>
      <c r="AZ218" s="65" t="str">
        <f t="shared" si="675"/>
        <v>Trend Ėu - Gimnázium 2022</v>
      </c>
      <c r="BA218" s="66" t="str">
        <f t="shared" si="676"/>
        <v>Trend Ėg - Gimnázium 2022</v>
      </c>
      <c r="BB218" s="66" t="str">
        <f t="shared" si="677"/>
        <v>Trend Ėd - Gimnázium 2022</v>
      </c>
      <c r="BC218" s="395"/>
      <c r="BD218" s="66" t="str">
        <f t="shared" si="678"/>
        <v>Trend Ėu - Gimnázium 2023</v>
      </c>
      <c r="BE218" s="66" t="str">
        <f t="shared" si="679"/>
        <v>Trend Ėg - Gimnázium 2023</v>
      </c>
      <c r="BF218" s="66" t="str">
        <f t="shared" si="680"/>
        <v>Trend Ėd - Gimnázium 2023</v>
      </c>
      <c r="BG218" s="395"/>
      <c r="BH218" s="66" t="str">
        <f t="shared" si="681"/>
        <v>Trend Ėu - Gimnázium 2024</v>
      </c>
      <c r="BI218" s="66" t="str">
        <f t="shared" si="682"/>
        <v>Trend Ėg - Gimnázium 2024</v>
      </c>
      <c r="BJ218" s="66" t="str">
        <f t="shared" si="683"/>
        <v>Trend Ėd - Gimnázium 2024</v>
      </c>
      <c r="BK218" s="395"/>
      <c r="BL218" s="66" t="str">
        <f t="shared" si="684"/>
        <v>Trend Ėu - Gimnázium 2025</v>
      </c>
      <c r="BM218" s="66" t="str">
        <f t="shared" si="685"/>
        <v>Trend Ėg - Gimnázium 2025</v>
      </c>
      <c r="BN218" s="66" t="str">
        <f t="shared" si="686"/>
        <v>Trend Ėd - Gimnázium 2025</v>
      </c>
      <c r="BO218" s="395"/>
    </row>
    <row r="219" spans="2:69" x14ac:dyDescent="0.35">
      <c r="B219" t="str">
        <f t="shared" si="668"/>
        <v>I7 Technikum</v>
      </c>
      <c r="D219" s="393"/>
      <c r="E219" s="393"/>
      <c r="F219" s="394"/>
      <c r="G219" s="395"/>
      <c r="H219" s="393"/>
      <c r="I219" s="393"/>
      <c r="J219" s="394"/>
      <c r="K219" s="395"/>
      <c r="L219" s="393"/>
      <c r="M219" s="393"/>
      <c r="N219" s="394"/>
      <c r="O219" s="395"/>
      <c r="P219" s="393"/>
      <c r="Q219" s="393"/>
      <c r="R219" s="394"/>
      <c r="S219" s="395"/>
      <c r="T219" s="393"/>
      <c r="U219" s="393"/>
      <c r="V219" s="394"/>
      <c r="W219" s="395"/>
      <c r="X219" s="393"/>
      <c r="Y219" s="393"/>
      <c r="Z219" s="394"/>
      <c r="AA219" s="395"/>
      <c r="AB219" s="393"/>
      <c r="AC219" s="393"/>
      <c r="AD219" s="394"/>
      <c r="AE219" s="395"/>
      <c r="AF219" s="393"/>
      <c r="AG219" s="393"/>
      <c r="AH219" s="394"/>
      <c r="AI219" s="395"/>
      <c r="AJ219" s="393"/>
      <c r="AK219" s="393"/>
      <c r="AL219" s="394"/>
      <c r="AM219" s="395"/>
      <c r="AN219" s="393"/>
      <c r="AO219" s="393"/>
      <c r="AP219" s="394"/>
      <c r="AQ219" s="395"/>
      <c r="AR219" s="65" t="str">
        <f t="shared" si="669"/>
        <v>Trend Ėu - Technikum 2020</v>
      </c>
      <c r="AS219" s="66" t="str">
        <f t="shared" si="670"/>
        <v>Trend Ėg - Technikum 2020</v>
      </c>
      <c r="AT219" s="66" t="str">
        <f t="shared" si="671"/>
        <v>Trend Ėd - Technikum 2020</v>
      </c>
      <c r="AU219" s="395"/>
      <c r="AV219" s="66" t="str">
        <f t="shared" si="672"/>
        <v>Trend Ėu - Technikum 2021</v>
      </c>
      <c r="AW219" s="66" t="str">
        <f t="shared" si="673"/>
        <v>Trend Ėg - Technikum 2021</v>
      </c>
      <c r="AX219" s="66" t="str">
        <f t="shared" si="674"/>
        <v>Trend Ėd - Technikum 2021</v>
      </c>
      <c r="AY219" s="395"/>
      <c r="AZ219" s="65" t="str">
        <f t="shared" si="675"/>
        <v>Trend Ėu - Technikum 2022</v>
      </c>
      <c r="BA219" s="66" t="str">
        <f t="shared" si="676"/>
        <v>Trend Ėg - Technikum 2022</v>
      </c>
      <c r="BB219" s="66" t="str">
        <f t="shared" si="677"/>
        <v>Trend Ėd - Technikum 2022</v>
      </c>
      <c r="BC219" s="395"/>
      <c r="BD219" s="66" t="str">
        <f t="shared" si="678"/>
        <v>Trend Ėu - Technikum 2023</v>
      </c>
      <c r="BE219" s="66" t="str">
        <f t="shared" si="679"/>
        <v>Trend Ėg - Technikum 2023</v>
      </c>
      <c r="BF219" s="66" t="str">
        <f t="shared" si="680"/>
        <v>Trend Ėd - Technikum 2023</v>
      </c>
      <c r="BG219" s="395"/>
      <c r="BH219" s="66" t="str">
        <f t="shared" si="681"/>
        <v>Trend Ėu - Technikum 2024</v>
      </c>
      <c r="BI219" s="66" t="str">
        <f t="shared" si="682"/>
        <v>Trend Ėg - Technikum 2024</v>
      </c>
      <c r="BJ219" s="66" t="str">
        <f t="shared" si="683"/>
        <v>Trend Ėd - Technikum 2024</v>
      </c>
      <c r="BK219" s="395"/>
      <c r="BL219" s="66" t="str">
        <f t="shared" si="684"/>
        <v>Trend Ėu - Technikum 2025</v>
      </c>
      <c r="BM219" s="66" t="str">
        <f t="shared" si="685"/>
        <v>Trend Ėg - Technikum 2025</v>
      </c>
      <c r="BN219" s="66" t="str">
        <f t="shared" si="686"/>
        <v>Trend Ėd - Technikum 2025</v>
      </c>
      <c r="BO219" s="395"/>
    </row>
    <row r="220" spans="2:69" x14ac:dyDescent="0.35">
      <c r="B220" t="str">
        <f t="shared" si="668"/>
        <v>I8 Főiskola</v>
      </c>
      <c r="D220" s="393"/>
      <c r="E220" s="393"/>
      <c r="F220" s="394"/>
      <c r="G220" s="395"/>
      <c r="H220" s="393"/>
      <c r="I220" s="393"/>
      <c r="J220" s="394"/>
      <c r="K220" s="395"/>
      <c r="L220" s="393"/>
      <c r="M220" s="393"/>
      <c r="N220" s="394"/>
      <c r="O220" s="395"/>
      <c r="P220" s="393"/>
      <c r="Q220" s="393"/>
      <c r="R220" s="394"/>
      <c r="S220" s="395"/>
      <c r="T220" s="393"/>
      <c r="U220" s="393"/>
      <c r="V220" s="394"/>
      <c r="W220" s="395"/>
      <c r="X220" s="393"/>
      <c r="Y220" s="393"/>
      <c r="Z220" s="394"/>
      <c r="AA220" s="395"/>
      <c r="AB220" s="393"/>
      <c r="AC220" s="393"/>
      <c r="AD220" s="394"/>
      <c r="AE220" s="395"/>
      <c r="AF220" s="393"/>
      <c r="AG220" s="393"/>
      <c r="AH220" s="394"/>
      <c r="AI220" s="395"/>
      <c r="AJ220" s="393"/>
      <c r="AK220" s="393"/>
      <c r="AL220" s="394"/>
      <c r="AM220" s="395"/>
      <c r="AN220" s="393"/>
      <c r="AO220" s="393"/>
      <c r="AP220" s="394"/>
      <c r="AQ220" s="395"/>
      <c r="AR220" s="65" t="str">
        <f t="shared" si="669"/>
        <v>Trend Ėu - Főiskola 2020</v>
      </c>
      <c r="AS220" s="66" t="str">
        <f t="shared" si="670"/>
        <v>Trend Ėg - Főiskola 2020</v>
      </c>
      <c r="AT220" s="66" t="str">
        <f t="shared" si="671"/>
        <v>Trend Ėd - Főiskola 2020</v>
      </c>
      <c r="AU220" s="395"/>
      <c r="AV220" s="66" t="str">
        <f t="shared" si="672"/>
        <v>Trend Ėu - Főiskola 2021</v>
      </c>
      <c r="AW220" s="66" t="str">
        <f t="shared" si="673"/>
        <v>Trend Ėg - Főiskola 2021</v>
      </c>
      <c r="AX220" s="66" t="str">
        <f t="shared" si="674"/>
        <v>Trend Ėd - Főiskola 2021</v>
      </c>
      <c r="AY220" s="395"/>
      <c r="AZ220" s="65" t="str">
        <f t="shared" si="675"/>
        <v>Trend Ėu - Főiskola 2022</v>
      </c>
      <c r="BA220" s="66" t="str">
        <f t="shared" si="676"/>
        <v>Trend Ėg - Főiskola 2022</v>
      </c>
      <c r="BB220" s="66" t="str">
        <f t="shared" si="677"/>
        <v>Trend Ėd - Főiskola 2022</v>
      </c>
      <c r="BC220" s="395"/>
      <c r="BD220" s="66" t="str">
        <f t="shared" si="678"/>
        <v>Trend Ėu - Főiskola 2023</v>
      </c>
      <c r="BE220" s="66" t="str">
        <f t="shared" si="679"/>
        <v>Trend Ėg - Főiskola 2023</v>
      </c>
      <c r="BF220" s="66" t="str">
        <f t="shared" si="680"/>
        <v>Trend Ėd - Főiskola 2023</v>
      </c>
      <c r="BG220" s="395"/>
      <c r="BH220" s="66" t="str">
        <f t="shared" si="681"/>
        <v>Trend Ėu - Főiskola 2024</v>
      </c>
      <c r="BI220" s="66" t="str">
        <f t="shared" si="682"/>
        <v>Trend Ėg - Főiskola 2024</v>
      </c>
      <c r="BJ220" s="66" t="str">
        <f t="shared" si="683"/>
        <v>Trend Ėd - Főiskola 2024</v>
      </c>
      <c r="BK220" s="395"/>
      <c r="BL220" s="66" t="str">
        <f t="shared" si="684"/>
        <v>Trend Ėu - Főiskola 2025</v>
      </c>
      <c r="BM220" s="66" t="str">
        <f t="shared" si="685"/>
        <v>Trend Ėg - Főiskola 2025</v>
      </c>
      <c r="BN220" s="66" t="str">
        <f t="shared" si="686"/>
        <v>Trend Ėd - Főiskola 2025</v>
      </c>
      <c r="BO220" s="395"/>
    </row>
    <row r="221" spans="2:69" x14ac:dyDescent="0.35">
      <c r="B221" t="str">
        <f t="shared" si="668"/>
        <v>I9 Egyetem</v>
      </c>
      <c r="D221" s="393"/>
      <c r="E221" s="393"/>
      <c r="F221" s="394"/>
      <c r="G221" s="396"/>
      <c r="H221" s="393"/>
      <c r="I221" s="393"/>
      <c r="J221" s="394"/>
      <c r="K221" s="396"/>
      <c r="L221" s="393"/>
      <c r="M221" s="393"/>
      <c r="N221" s="394"/>
      <c r="O221" s="396"/>
      <c r="P221" s="393"/>
      <c r="Q221" s="393"/>
      <c r="R221" s="394"/>
      <c r="S221" s="396"/>
      <c r="T221" s="393"/>
      <c r="U221" s="393"/>
      <c r="V221" s="394"/>
      <c r="W221" s="396"/>
      <c r="X221" s="393"/>
      <c r="Y221" s="393"/>
      <c r="Z221" s="394"/>
      <c r="AA221" s="396"/>
      <c r="AB221" s="393"/>
      <c r="AC221" s="393"/>
      <c r="AD221" s="394"/>
      <c r="AE221" s="396"/>
      <c r="AF221" s="393"/>
      <c r="AG221" s="393"/>
      <c r="AH221" s="394"/>
      <c r="AI221" s="396"/>
      <c r="AJ221" s="393"/>
      <c r="AK221" s="393"/>
      <c r="AL221" s="394"/>
      <c r="AM221" s="396"/>
      <c r="AN221" s="393"/>
      <c r="AO221" s="393"/>
      <c r="AP221" s="394"/>
      <c r="AQ221" s="396"/>
      <c r="AR221" s="67" t="str">
        <f t="shared" si="669"/>
        <v>Trend Ėu - Egyetem 2020</v>
      </c>
      <c r="AS221" s="68" t="str">
        <f t="shared" si="670"/>
        <v>Trend Ėg - Egyetem 2020</v>
      </c>
      <c r="AT221" s="68" t="str">
        <f t="shared" si="671"/>
        <v>Trend Ėd - Egyetem 2020</v>
      </c>
      <c r="AU221" s="396"/>
      <c r="AV221" s="68" t="str">
        <f t="shared" si="672"/>
        <v>Trend Ėu - Egyetem 2021</v>
      </c>
      <c r="AW221" s="68" t="str">
        <f t="shared" si="673"/>
        <v>Trend Ėg - Egyetem 2021</v>
      </c>
      <c r="AX221" s="68" t="str">
        <f t="shared" si="674"/>
        <v>Trend Ėd - Egyetem 2021</v>
      </c>
      <c r="AY221" s="396"/>
      <c r="AZ221" s="67" t="str">
        <f t="shared" si="675"/>
        <v>Trend Ėu - Egyetem 2022</v>
      </c>
      <c r="BA221" s="68" t="str">
        <f t="shared" si="676"/>
        <v>Trend Ėg - Egyetem 2022</v>
      </c>
      <c r="BB221" s="68" t="str">
        <f t="shared" si="677"/>
        <v>Trend Ėd - Egyetem 2022</v>
      </c>
      <c r="BC221" s="396"/>
      <c r="BD221" s="68" t="str">
        <f t="shared" si="678"/>
        <v>Trend Ėu - Egyetem 2023</v>
      </c>
      <c r="BE221" s="68" t="str">
        <f t="shared" si="679"/>
        <v>Trend Ėg - Egyetem 2023</v>
      </c>
      <c r="BF221" s="68" t="str">
        <f t="shared" si="680"/>
        <v>Trend Ėd - Egyetem 2023</v>
      </c>
      <c r="BG221" s="396"/>
      <c r="BH221" s="68" t="str">
        <f t="shared" si="681"/>
        <v>Trend Ėu - Egyetem 2024</v>
      </c>
      <c r="BI221" s="68" t="str">
        <f t="shared" si="682"/>
        <v>Trend Ėg - Egyetem 2024</v>
      </c>
      <c r="BJ221" s="68" t="str">
        <f t="shared" si="683"/>
        <v>Trend Ėd - Egyetem 2024</v>
      </c>
      <c r="BK221" s="396"/>
      <c r="BL221" s="68" t="str">
        <f t="shared" si="684"/>
        <v>Trend Ėu - Egyetem 2025</v>
      </c>
      <c r="BM221" s="68" t="str">
        <f t="shared" si="685"/>
        <v>Trend Ėg - Egyetem 2025</v>
      </c>
      <c r="BN221" s="68" t="str">
        <f t="shared" si="686"/>
        <v>Trend Ėd - Egyetem 2025</v>
      </c>
      <c r="BO221" s="396"/>
    </row>
    <row r="222" spans="2:69" ht="58" x14ac:dyDescent="0.35">
      <c r="B222" t="str">
        <f t="shared" si="668"/>
        <v>Összesen</v>
      </c>
      <c r="D222" s="393" t="s">
        <v>126</v>
      </c>
      <c r="E222" s="393"/>
      <c r="F222" s="394"/>
      <c r="G222" s="109" t="s">
        <v>130</v>
      </c>
      <c r="H222" s="393" t="s">
        <v>731</v>
      </c>
      <c r="I222" s="393"/>
      <c r="J222" s="394"/>
      <c r="K222" s="109" t="s">
        <v>732</v>
      </c>
      <c r="L222" s="393" t="s">
        <v>739</v>
      </c>
      <c r="M222" s="393"/>
      <c r="N222" s="394"/>
      <c r="O222" s="109" t="s">
        <v>740</v>
      </c>
      <c r="P222" s="393" t="s">
        <v>747</v>
      </c>
      <c r="Q222" s="393"/>
      <c r="R222" s="394"/>
      <c r="S222" s="109" t="s">
        <v>748</v>
      </c>
      <c r="T222" s="393" t="s">
        <v>755</v>
      </c>
      <c r="U222" s="393"/>
      <c r="V222" s="394"/>
      <c r="W222" s="109" t="s">
        <v>756</v>
      </c>
      <c r="X222" s="393" t="s">
        <v>763</v>
      </c>
      <c r="Y222" s="393"/>
      <c r="Z222" s="394"/>
      <c r="AA222" s="109" t="s">
        <v>764</v>
      </c>
      <c r="AB222" s="393" t="s">
        <v>771</v>
      </c>
      <c r="AC222" s="393"/>
      <c r="AD222" s="394"/>
      <c r="AE222" s="109" t="s">
        <v>772</v>
      </c>
      <c r="AF222" s="393" t="s">
        <v>779</v>
      </c>
      <c r="AG222" s="393"/>
      <c r="AH222" s="394"/>
      <c r="AI222" s="109" t="s">
        <v>780</v>
      </c>
      <c r="AJ222" s="393" t="s">
        <v>787</v>
      </c>
      <c r="AK222" s="393"/>
      <c r="AL222" s="394"/>
      <c r="AM222" s="109" t="s">
        <v>788</v>
      </c>
      <c r="AN222" s="393" t="s">
        <v>795</v>
      </c>
      <c r="AO222" s="393"/>
      <c r="AP222" s="394"/>
      <c r="AQ222" s="109" t="s">
        <v>796</v>
      </c>
      <c r="AR222" s="104" t="str">
        <f>CONCATENATE("SZUM( Trend Ėu 0-7 osztály … Egyetem) ", AR200)</f>
        <v>SZUM( Trend Ėu 0-7 osztály … Egyetem) 2020</v>
      </c>
      <c r="AS222" s="103" t="str">
        <f>CONCATENATE("SZUM( Trend Ėg 0-7 osztály … Egyetem) ",AR200)</f>
        <v>SZUM( Trend Ėg 0-7 osztály … Egyetem) 2020</v>
      </c>
      <c r="AT222" s="103" t="str">
        <f>CONCATENATE("SZUM( Trend Ėd 0-7 osztály … Egyetem) ",AR200)</f>
        <v>SZUM( Trend Ėd 0-7 osztály … Egyetem) 2020</v>
      </c>
      <c r="AU222" s="114" t="s">
        <v>885</v>
      </c>
      <c r="AV222" s="106" t="str">
        <f>CONCATENATE("SZUM( Trend Ėu 0-7 osztály … Egyetem) ", AV200)</f>
        <v>SZUM( Trend Ėu 0-7 osztály … Egyetem) 2021</v>
      </c>
      <c r="AW222" s="106" t="str">
        <f>CONCATENATE("SZUM( Trend Ėg 0-7 osztály … Egyetem) ",AV200)</f>
        <v>SZUM( Trend Ėg 0-7 osztály … Egyetem) 2021</v>
      </c>
      <c r="AX222" s="106" t="str">
        <f>CONCATENATE("SZUM( Trend Ėd 0-7 osztály … Egyetem) ",AV200)</f>
        <v>SZUM( Trend Ėd 0-7 osztály … Egyetem) 2021</v>
      </c>
      <c r="AY222" s="114" t="s">
        <v>905</v>
      </c>
      <c r="AZ222" s="104" t="str">
        <f>CONCATENATE("SZUM( Trend Ėu 0-7 osztály … Egyetem) ", AZ200)</f>
        <v>SZUM( Trend Ėu 0-7 osztály … Egyetem) 2022</v>
      </c>
      <c r="BA222" s="103" t="str">
        <f>CONCATENATE("SZUM( Trend Ėg 0-7 osztály … Egyetem) ",AZ200)</f>
        <v>SZUM( Trend Ėg 0-7 osztály … Egyetem) 2022</v>
      </c>
      <c r="BB222" s="103" t="str">
        <f>CONCATENATE("SZUM( Trend Ėd 0-7 osztály … Egyetem) ",AZ200)</f>
        <v>SZUM( Trend Ėd 0-7 osztály … Egyetem) 2022</v>
      </c>
      <c r="BC222" s="114" t="s">
        <v>913</v>
      </c>
      <c r="BD222" s="103" t="str">
        <f>CONCATENATE("SZUM( Trend Ėu 0-7 osztály … Egyetem) ", BD200)</f>
        <v>SZUM( Trend Ėu 0-7 osztály … Egyetem) 2023</v>
      </c>
      <c r="BE222" s="103" t="str">
        <f>CONCATENATE("SZUM( Trend Ėg 0-7 osztály … Egyetem) ",BD200)</f>
        <v>SZUM( Trend Ėg 0-7 osztály … Egyetem) 2023</v>
      </c>
      <c r="BF222" s="103" t="str">
        <f>CONCATENATE("SZUM( Trend Ėd 0-7 osztály … Egyetem) ",BD200)</f>
        <v>SZUM( Trend Ėd 0-7 osztály … Egyetem) 2023</v>
      </c>
      <c r="BG222" s="114" t="s">
        <v>921</v>
      </c>
      <c r="BH222" s="103" t="str">
        <f>CONCATENATE("SZUM( Trend Ėu 0-7 osztály … Egyetem) ", BH200)</f>
        <v>SZUM( Trend Ėu 0-7 osztály … Egyetem) 2024</v>
      </c>
      <c r="BI222" s="103" t="str">
        <f>CONCATENATE("SZUM( Trend Ėg 0-7 osztály … Egyetem) ",BH200)</f>
        <v>SZUM( Trend Ėg 0-7 osztály … Egyetem) 2024</v>
      </c>
      <c r="BJ222" s="103" t="str">
        <f>CONCATENATE("SZUM( Trend Ėd 0-7 osztály … Egyetem) ",BH200)</f>
        <v>SZUM( Trend Ėd 0-7 osztály … Egyetem) 2024</v>
      </c>
      <c r="BK222" s="114" t="s">
        <v>929</v>
      </c>
      <c r="BL222" s="103" t="str">
        <f>CONCATENATE("SZUM( Trend Ėu 0-7 osztály … Egyetem) ", BL200)</f>
        <v>SZUM( Trend Ėu 0-7 osztály … Egyetem) 2025</v>
      </c>
      <c r="BM222" s="103" t="str">
        <f>CONCATENATE("SZUM( Trend Ėg 0-7 osztály … Egyetem) ",BL200)</f>
        <v>SZUM( Trend Ėg 0-7 osztály … Egyetem) 2025</v>
      </c>
      <c r="BN222" s="103" t="str">
        <f>CONCATENATE("SZUM( Trend Ėd 0-7 osztály … Egyetem) ",BL200)</f>
        <v>SZUM( Trend Ėd 0-7 osztály … Egyetem) 2025</v>
      </c>
      <c r="BO222" s="114" t="s">
        <v>937</v>
      </c>
    </row>
    <row r="224" spans="2:69" x14ac:dyDescent="0.35">
      <c r="D224" s="184"/>
      <c r="E224" s="183"/>
    </row>
    <row r="226" spans="1:50" x14ac:dyDescent="0.35">
      <c r="A226" t="s">
        <v>93</v>
      </c>
    </row>
    <row r="227" spans="1:50" x14ac:dyDescent="0.35">
      <c r="D227" s="55">
        <v>2010</v>
      </c>
      <c r="E227" s="30">
        <f>D227+1</f>
        <v>2011</v>
      </c>
      <c r="F227" s="30">
        <f t="shared" ref="F227" si="687">E227+1</f>
        <v>2012</v>
      </c>
      <c r="G227" s="30">
        <f t="shared" ref="G227" si="688">F227+1</f>
        <v>2013</v>
      </c>
      <c r="H227" s="30">
        <f t="shared" ref="H227" si="689">G227+1</f>
        <v>2014</v>
      </c>
      <c r="I227" s="30">
        <f t="shared" ref="I227" si="690">H227+1</f>
        <v>2015</v>
      </c>
      <c r="J227" s="30">
        <f t="shared" ref="J227" si="691">I227+1</f>
        <v>2016</v>
      </c>
      <c r="K227" s="30">
        <f t="shared" ref="K227" si="692">J227+1</f>
        <v>2017</v>
      </c>
      <c r="L227" s="30">
        <f t="shared" ref="L227" si="693">K227+1</f>
        <v>2018</v>
      </c>
      <c r="M227" s="56">
        <f t="shared" ref="M227" si="694">L227+1</f>
        <v>2019</v>
      </c>
      <c r="N227" s="55">
        <f t="shared" ref="N227" si="695">M227+1</f>
        <v>2020</v>
      </c>
      <c r="O227" s="30">
        <f t="shared" ref="O227" si="696">N227+1</f>
        <v>2021</v>
      </c>
      <c r="P227" s="30">
        <f t="shared" ref="P227" si="697">O227+1</f>
        <v>2022</v>
      </c>
      <c r="Q227" s="30">
        <f t="shared" ref="Q227" si="698">P227+1</f>
        <v>2023</v>
      </c>
      <c r="R227" s="30">
        <f t="shared" ref="R227" si="699">Q227+1</f>
        <v>2024</v>
      </c>
      <c r="S227" s="56">
        <f t="shared" ref="S227" si="700">R227+1</f>
        <v>2025</v>
      </c>
    </row>
    <row r="228" spans="1:50" x14ac:dyDescent="0.35">
      <c r="D228" s="70" t="str">
        <f>D201</f>
        <v>Upstream</v>
      </c>
      <c r="E228" s="71" t="str">
        <f t="shared" ref="E228" si="701">H201</f>
        <v>Upstream</v>
      </c>
      <c r="F228" s="71" t="str">
        <f t="shared" ref="F228" si="702">L201</f>
        <v>Upstream</v>
      </c>
      <c r="G228" s="71" t="str">
        <f t="shared" ref="G228" si="703">P201</f>
        <v>Upstream</v>
      </c>
      <c r="H228" s="71" t="str">
        <f t="shared" ref="H228" si="704">T201</f>
        <v>Upstream</v>
      </c>
      <c r="I228" s="71" t="str">
        <f t="shared" ref="I228" si="705">X201</f>
        <v>Upstream</v>
      </c>
      <c r="J228" s="71" t="str">
        <f t="shared" ref="J228" si="706">AB201</f>
        <v>Upstream</v>
      </c>
      <c r="K228" s="71" t="str">
        <f t="shared" ref="K228" si="707">AF201</f>
        <v>Upstream</v>
      </c>
      <c r="L228" s="71" t="str">
        <f t="shared" ref="L228" si="708">AJ201</f>
        <v>Upstream</v>
      </c>
      <c r="M228" s="72" t="str">
        <f t="shared" ref="M228" si="709">AN201</f>
        <v>Upstream</v>
      </c>
      <c r="N228" s="70" t="str">
        <f>M228</f>
        <v>Upstream</v>
      </c>
      <c r="O228" s="71" t="str">
        <f>N228</f>
        <v>Upstream</v>
      </c>
      <c r="P228" s="71" t="str">
        <f t="shared" ref="P228" si="710">O228</f>
        <v>Upstream</v>
      </c>
      <c r="Q228" s="71" t="str">
        <f t="shared" ref="Q228" si="711">P228</f>
        <v>Upstream</v>
      </c>
      <c r="R228" s="71" t="str">
        <f t="shared" ref="R228" si="712">Q228</f>
        <v>Upstream</v>
      </c>
      <c r="S228" s="73" t="str">
        <f t="shared" ref="S228" si="713">R228</f>
        <v>Upstream</v>
      </c>
    </row>
    <row r="229" spans="1:50" ht="14.5" customHeight="1" x14ac:dyDescent="0.35">
      <c r="B229" t="str">
        <f t="shared" ref="B229:B239" si="714">B203</f>
        <v>0 FEGYVERES SZERVEK FOGLALKOZÁSAI</v>
      </c>
      <c r="C229" t="s">
        <v>95</v>
      </c>
      <c r="D229" s="385" t="s">
        <v>950</v>
      </c>
      <c r="E229" s="385" t="s">
        <v>838</v>
      </c>
      <c r="F229" s="386" t="s">
        <v>838</v>
      </c>
      <c r="G229" s="386" t="s">
        <v>814</v>
      </c>
      <c r="H229" s="386" t="s">
        <v>822</v>
      </c>
      <c r="I229" s="386" t="s">
        <v>830</v>
      </c>
      <c r="J229" s="385" t="s">
        <v>842</v>
      </c>
      <c r="K229" s="385" t="s">
        <v>846</v>
      </c>
      <c r="L229" s="385" t="s">
        <v>850</v>
      </c>
      <c r="M229" s="385" t="s">
        <v>854</v>
      </c>
      <c r="N229" s="387" t="str">
        <f>CONCATENATE("Trend Ḟu - ",C229," 2010-2019")</f>
        <v>Trend Ḟu - Fegyveresek 2010-2019</v>
      </c>
      <c r="O229" s="387"/>
      <c r="P229" s="387"/>
      <c r="Q229" s="387"/>
      <c r="R229" s="387"/>
      <c r="S229" s="387"/>
    </row>
    <row r="230" spans="1:50" x14ac:dyDescent="0.35">
      <c r="B230" t="str">
        <f t="shared" si="714"/>
        <v>1 GAZDASÁGI, IGAZGATÁSI, ÉRDEK-KÉPVISELETI VEZETŐK, TÖRVÉNYHOZÓK</v>
      </c>
      <c r="C230" t="s">
        <v>96</v>
      </c>
      <c r="D230" s="385"/>
      <c r="E230" s="385"/>
      <c r="F230" s="386"/>
      <c r="G230" s="386"/>
      <c r="H230" s="386"/>
      <c r="I230" s="386"/>
      <c r="J230" s="385"/>
      <c r="K230" s="385"/>
      <c r="L230" s="385"/>
      <c r="M230" s="385"/>
      <c r="N230" s="387" t="str">
        <f t="shared" ref="N230:N238" si="715">CONCATENATE("Trend Ḟu - ",C230," 2010-2019")</f>
        <v>Trend Ḟu - Vezetők 2010-2019</v>
      </c>
      <c r="O230" s="387"/>
      <c r="P230" s="387"/>
      <c r="Q230" s="387"/>
      <c r="R230" s="387"/>
      <c r="S230" s="387"/>
    </row>
    <row r="231" spans="1:50" x14ac:dyDescent="0.35">
      <c r="B231" t="str">
        <f t="shared" si="714"/>
        <v>2 FELSŐFOKÚ KÉPZETTSÉG ÖNÁLLÓ ALKALMAZÁSÁT IGÉNYLŐ FOGLALKOZÁSOK</v>
      </c>
      <c r="C231" t="s">
        <v>97</v>
      </c>
      <c r="D231" s="385"/>
      <c r="E231" s="385"/>
      <c r="F231" s="386"/>
      <c r="G231" s="386"/>
      <c r="H231" s="386"/>
      <c r="I231" s="386"/>
      <c r="J231" s="385"/>
      <c r="K231" s="385"/>
      <c r="L231" s="385"/>
      <c r="M231" s="385"/>
      <c r="N231" s="387" t="str">
        <f t="shared" si="715"/>
        <v>Trend Ḟu - Felsőfokúak 2010-2019</v>
      </c>
      <c r="O231" s="387"/>
      <c r="P231" s="387"/>
      <c r="Q231" s="387"/>
      <c r="R231" s="387"/>
      <c r="S231" s="387"/>
      <c r="AA231" s="59"/>
      <c r="AW231" s="59"/>
      <c r="AX231" s="59"/>
    </row>
    <row r="232" spans="1:50" x14ac:dyDescent="0.35">
      <c r="B232" t="str">
        <f t="shared" si="714"/>
        <v>3 EGYÉB FELSŐFOKÚ VAGY KÖZÉPFOKÚ KÉPZETTSÉGET IGÉNYLŐ FOGLALKOZÁSOK</v>
      </c>
      <c r="C232" t="s">
        <v>98</v>
      </c>
      <c r="D232" s="385"/>
      <c r="E232" s="385"/>
      <c r="F232" s="386"/>
      <c r="G232" s="386"/>
      <c r="H232" s="386"/>
      <c r="I232" s="386"/>
      <c r="J232" s="385"/>
      <c r="K232" s="385"/>
      <c r="L232" s="385"/>
      <c r="M232" s="385"/>
      <c r="N232" s="387" t="str">
        <f t="shared" si="715"/>
        <v>Trend Ḟu - Egyéb felső 2010-2019</v>
      </c>
      <c r="O232" s="387"/>
      <c r="P232" s="387"/>
      <c r="Q232" s="387"/>
      <c r="R232" s="387"/>
      <c r="S232" s="387"/>
      <c r="AA232" s="59"/>
      <c r="AW232" s="59"/>
      <c r="AX232" s="59"/>
    </row>
    <row r="233" spans="1:50" x14ac:dyDescent="0.35">
      <c r="B233" t="str">
        <f t="shared" si="714"/>
        <v>4 IRODAI ÉS ÜGYVITELI (ÜGYFÉLKAPCSOLATI) FOGLALKOZÁSOK</v>
      </c>
      <c r="C233" t="s">
        <v>99</v>
      </c>
      <c r="D233" s="385"/>
      <c r="E233" s="385"/>
      <c r="F233" s="386"/>
      <c r="G233" s="386"/>
      <c r="H233" s="386"/>
      <c r="I233" s="386"/>
      <c r="J233" s="385"/>
      <c r="K233" s="385"/>
      <c r="L233" s="385"/>
      <c r="M233" s="385"/>
      <c r="N233" s="387" t="str">
        <f t="shared" si="715"/>
        <v>Trend Ḟu - Iroda-ügyvitel 2010-2019</v>
      </c>
      <c r="O233" s="387"/>
      <c r="P233" s="387"/>
      <c r="Q233" s="387"/>
      <c r="R233" s="387"/>
      <c r="S233" s="387"/>
      <c r="AA233" s="59"/>
      <c r="AW233" s="59"/>
      <c r="AX233" s="59"/>
    </row>
    <row r="234" spans="1:50" x14ac:dyDescent="0.35">
      <c r="B234" t="str">
        <f t="shared" si="714"/>
        <v>5 KERESKEDELMI ÉS SZOLGÁLTATÁSI FOGLALKOZÁSOK</v>
      </c>
      <c r="C234" t="s">
        <v>100</v>
      </c>
      <c r="D234" s="385"/>
      <c r="E234" s="385"/>
      <c r="F234" s="386"/>
      <c r="G234" s="386"/>
      <c r="H234" s="386"/>
      <c r="I234" s="386"/>
      <c r="J234" s="385"/>
      <c r="K234" s="385"/>
      <c r="L234" s="385"/>
      <c r="M234" s="385"/>
      <c r="N234" s="387" t="str">
        <f t="shared" si="715"/>
        <v>Trend Ḟu - Ker-szolg 2010-2019</v>
      </c>
      <c r="O234" s="387"/>
      <c r="P234" s="387"/>
      <c r="Q234" s="387"/>
      <c r="R234" s="387"/>
      <c r="S234" s="387"/>
      <c r="AA234" s="59"/>
      <c r="AW234" s="59"/>
      <c r="AX234" s="59"/>
    </row>
    <row r="235" spans="1:50" x14ac:dyDescent="0.35">
      <c r="B235" t="str">
        <f t="shared" si="714"/>
        <v>6 MEZŐGAZDASÁGI ÉS ERDŐGAZDÁLKODÁSI FOGLALKOZÁSOK</v>
      </c>
      <c r="C235" t="s">
        <v>101</v>
      </c>
      <c r="D235" s="385"/>
      <c r="E235" s="385"/>
      <c r="F235" s="386"/>
      <c r="G235" s="386"/>
      <c r="H235" s="386"/>
      <c r="I235" s="386"/>
      <c r="J235" s="385"/>
      <c r="K235" s="385"/>
      <c r="L235" s="385"/>
      <c r="M235" s="385"/>
      <c r="N235" s="387" t="str">
        <f t="shared" si="715"/>
        <v>Trend Ḟu - Mező-erdő 2010-2019</v>
      </c>
      <c r="O235" s="387"/>
      <c r="P235" s="387"/>
      <c r="Q235" s="387"/>
      <c r="R235" s="387"/>
      <c r="S235" s="387"/>
      <c r="AA235" s="59"/>
      <c r="AW235" s="59"/>
      <c r="AX235" s="59"/>
    </row>
    <row r="236" spans="1:50" x14ac:dyDescent="0.35">
      <c r="B236" t="str">
        <f t="shared" si="714"/>
        <v>7 IPARI ÉS ÉPÍTŐIPARI FOGLALKOZÁSOK</v>
      </c>
      <c r="C236" t="s">
        <v>103</v>
      </c>
      <c r="D236" s="385"/>
      <c r="E236" s="385"/>
      <c r="F236" s="386"/>
      <c r="G236" s="386"/>
      <c r="H236" s="386"/>
      <c r="I236" s="386"/>
      <c r="J236" s="385"/>
      <c r="K236" s="385"/>
      <c r="L236" s="385"/>
      <c r="M236" s="385"/>
      <c r="N236" s="387" t="str">
        <f t="shared" si="715"/>
        <v>Trend Ḟu - ipar-épip. 2010-2019</v>
      </c>
      <c r="O236" s="387"/>
      <c r="P236" s="387"/>
      <c r="Q236" s="387"/>
      <c r="R236" s="387"/>
      <c r="S236" s="387"/>
      <c r="AA236" s="59"/>
      <c r="AW236" s="59"/>
      <c r="AX236" s="59"/>
    </row>
    <row r="237" spans="1:50" x14ac:dyDescent="0.35">
      <c r="B237" t="str">
        <f t="shared" si="714"/>
        <v>8 GÉPKEZELŐK, ÖSSZESZERELŐK, JÁRMŰVEZETŐK</v>
      </c>
      <c r="C237" t="s">
        <v>102</v>
      </c>
      <c r="D237" s="385"/>
      <c r="E237" s="385"/>
      <c r="F237" s="386"/>
      <c r="G237" s="386"/>
      <c r="H237" s="386"/>
      <c r="I237" s="386"/>
      <c r="J237" s="385"/>
      <c r="K237" s="385"/>
      <c r="L237" s="385"/>
      <c r="M237" s="385"/>
      <c r="N237" s="387" t="str">
        <f t="shared" si="715"/>
        <v>Trend Ḟu - Összeszerelők 2010-2019</v>
      </c>
      <c r="O237" s="387"/>
      <c r="P237" s="387"/>
      <c r="Q237" s="387"/>
      <c r="R237" s="387"/>
      <c r="S237" s="387"/>
      <c r="AA237" s="59"/>
      <c r="AW237" s="59"/>
      <c r="AX237" s="59"/>
    </row>
    <row r="238" spans="1:50" x14ac:dyDescent="0.35">
      <c r="B238" t="str">
        <f t="shared" si="714"/>
        <v>9 SZAKKÉPZETTSÉGET NEM IGÉNYLŐ (EGYSZERŰ) FOGLALKOZÁSOK</v>
      </c>
      <c r="C238" t="s">
        <v>104</v>
      </c>
      <c r="D238" s="385"/>
      <c r="E238" s="385"/>
      <c r="F238" s="386"/>
      <c r="G238" s="386"/>
      <c r="H238" s="386"/>
      <c r="I238" s="386"/>
      <c r="J238" s="385"/>
      <c r="K238" s="385"/>
      <c r="L238" s="385"/>
      <c r="M238" s="385"/>
      <c r="N238" s="387" t="str">
        <f t="shared" si="715"/>
        <v>Trend Ḟu - szakképzetlen 2010-2019</v>
      </c>
      <c r="O238" s="387"/>
      <c r="P238" s="387"/>
      <c r="Q238" s="387"/>
      <c r="R238" s="387"/>
      <c r="S238" s="387"/>
      <c r="AA238" s="59"/>
      <c r="AW238" s="59"/>
      <c r="AX238" s="59"/>
    </row>
    <row r="239" spans="1:50" x14ac:dyDescent="0.35">
      <c r="B239" t="str">
        <f t="shared" si="714"/>
        <v>Összesen</v>
      </c>
      <c r="C239" t="s">
        <v>105</v>
      </c>
      <c r="D239" s="137" t="s">
        <v>952</v>
      </c>
      <c r="E239" s="137" t="s">
        <v>839</v>
      </c>
      <c r="F239" s="137" t="s">
        <v>839</v>
      </c>
      <c r="G239" s="137" t="s">
        <v>815</v>
      </c>
      <c r="H239" s="137" t="s">
        <v>823</v>
      </c>
      <c r="I239" s="137" t="s">
        <v>831</v>
      </c>
      <c r="J239" s="137" t="s">
        <v>843</v>
      </c>
      <c r="K239" s="137" t="s">
        <v>847</v>
      </c>
      <c r="L239" s="137" t="s">
        <v>851</v>
      </c>
      <c r="M239" s="137" t="s">
        <v>855</v>
      </c>
      <c r="N239" s="65">
        <f>SUM(N229:N238)</f>
        <v>0</v>
      </c>
      <c r="O239" s="66">
        <f t="shared" ref="O239:S239" si="716">SUM(O229:O238)</f>
        <v>0</v>
      </c>
      <c r="P239" s="66">
        <f t="shared" si="716"/>
        <v>0</v>
      </c>
      <c r="Q239" s="66">
        <f t="shared" si="716"/>
        <v>0</v>
      </c>
      <c r="R239" s="66">
        <f t="shared" si="716"/>
        <v>0</v>
      </c>
      <c r="S239" s="61">
        <f t="shared" si="716"/>
        <v>0</v>
      </c>
      <c r="AA239" s="59"/>
      <c r="AW239" s="59"/>
      <c r="AX239" s="59"/>
    </row>
    <row r="240" spans="1:50" x14ac:dyDescent="0.35">
      <c r="B240" t="s">
        <v>163</v>
      </c>
      <c r="D240" s="60"/>
      <c r="E240" s="60"/>
      <c r="F240" s="60"/>
      <c r="G240" s="60"/>
      <c r="H240" s="60"/>
      <c r="I240" s="60"/>
      <c r="J240" s="60"/>
      <c r="K240" s="60"/>
      <c r="L240" s="60"/>
      <c r="M240" s="60"/>
      <c r="N240" s="65"/>
      <c r="O240" s="66"/>
      <c r="P240" s="66"/>
      <c r="Q240" s="66"/>
      <c r="R240" s="66"/>
      <c r="S240" s="61"/>
      <c r="AA240" s="59"/>
      <c r="AW240" s="59"/>
      <c r="AX240" s="59"/>
    </row>
    <row r="241" spans="2:50" x14ac:dyDescent="0.35">
      <c r="D241" s="60"/>
      <c r="E241" s="60"/>
      <c r="F241" s="60"/>
      <c r="G241" s="60"/>
      <c r="H241" s="60"/>
      <c r="I241" s="60"/>
      <c r="J241" s="60"/>
      <c r="K241" s="60"/>
      <c r="L241" s="60"/>
      <c r="M241" s="60"/>
      <c r="N241" s="65"/>
      <c r="O241" s="66"/>
      <c r="P241" s="66"/>
      <c r="Q241" s="66"/>
      <c r="R241" s="66"/>
      <c r="S241" s="61"/>
      <c r="AA241" s="59"/>
      <c r="AW241" s="59"/>
      <c r="AX241" s="59"/>
    </row>
    <row r="242" spans="2:50" ht="14.5" customHeight="1" x14ac:dyDescent="0.35">
      <c r="B242" t="str">
        <f t="shared" ref="B242:B249" si="717">B215</f>
        <v>I1 Általános Iskola 0-7 osztály</v>
      </c>
      <c r="C242" t="s">
        <v>106</v>
      </c>
      <c r="D242" s="389" t="s">
        <v>951</v>
      </c>
      <c r="E242" s="389" t="s">
        <v>840</v>
      </c>
      <c r="F242" s="390" t="s">
        <v>840</v>
      </c>
      <c r="G242" s="390" t="s">
        <v>816</v>
      </c>
      <c r="H242" s="390" t="s">
        <v>824</v>
      </c>
      <c r="I242" s="390" t="s">
        <v>832</v>
      </c>
      <c r="J242" s="389" t="s">
        <v>844</v>
      </c>
      <c r="K242" s="389" t="s">
        <v>848</v>
      </c>
      <c r="L242" s="389" t="s">
        <v>852</v>
      </c>
      <c r="M242" s="389" t="s">
        <v>856</v>
      </c>
      <c r="N242" s="387" t="str">
        <f>CONCATENATE("Trend Ėu - ",C242," 2010-2019")</f>
        <v>Trend Ėu - 0-7 osztály 2010-2019</v>
      </c>
      <c r="O242" s="387"/>
      <c r="P242" s="387"/>
      <c r="Q242" s="387"/>
      <c r="R242" s="387"/>
      <c r="S242" s="387"/>
      <c r="AA242" s="59"/>
      <c r="AW242" s="59"/>
      <c r="AX242" s="59"/>
    </row>
    <row r="243" spans="2:50" x14ac:dyDescent="0.35">
      <c r="B243" t="str">
        <f t="shared" si="717"/>
        <v>I2 Általános Iskola 8 osztály</v>
      </c>
      <c r="C243" t="s">
        <v>107</v>
      </c>
      <c r="D243" s="385"/>
      <c r="E243" s="385"/>
      <c r="F243" s="390"/>
      <c r="G243" s="390"/>
      <c r="H243" s="390"/>
      <c r="I243" s="390"/>
      <c r="J243" s="385"/>
      <c r="K243" s="385"/>
      <c r="L243" s="385"/>
      <c r="M243" s="385"/>
      <c r="N243" s="387" t="str">
        <f t="shared" ref="N243:N248" si="718">CONCATENATE("Trend Ėu - ",C243," 2010-2019")</f>
        <v>Trend Ėu - 8 osztály 2010-2019</v>
      </c>
      <c r="O243" s="387"/>
      <c r="P243" s="387"/>
      <c r="Q243" s="387"/>
      <c r="R243" s="387"/>
      <c r="S243" s="387"/>
      <c r="AA243" s="59"/>
      <c r="AW243" s="59"/>
      <c r="AX243" s="59"/>
    </row>
    <row r="244" spans="2:50" x14ac:dyDescent="0.35">
      <c r="B244" t="str">
        <f t="shared" si="717"/>
        <v>I3-I5 Szakiskola, Szakmunkásképző iskola, Szakközépiskola</v>
      </c>
      <c r="C244" t="s">
        <v>108</v>
      </c>
      <c r="D244" s="385"/>
      <c r="E244" s="385"/>
      <c r="F244" s="390"/>
      <c r="G244" s="390"/>
      <c r="H244" s="390"/>
      <c r="I244" s="390"/>
      <c r="J244" s="385"/>
      <c r="K244" s="385"/>
      <c r="L244" s="385"/>
      <c r="M244" s="385"/>
      <c r="N244" s="387" t="str">
        <f t="shared" si="718"/>
        <v>Trend Ėu - szakiskola 2010-2019</v>
      </c>
      <c r="O244" s="387"/>
      <c r="P244" s="387"/>
      <c r="Q244" s="387"/>
      <c r="R244" s="387"/>
      <c r="S244" s="387"/>
      <c r="AA244" s="59"/>
      <c r="AW244" s="59"/>
      <c r="AX244" s="59"/>
    </row>
    <row r="245" spans="2:50" x14ac:dyDescent="0.35">
      <c r="B245" t="str">
        <f t="shared" si="717"/>
        <v>I6 Gimnázium</v>
      </c>
      <c r="C245" t="s">
        <v>109</v>
      </c>
      <c r="D245" s="385"/>
      <c r="E245" s="385"/>
      <c r="F245" s="390"/>
      <c r="G245" s="390"/>
      <c r="H245" s="390"/>
      <c r="I245" s="390"/>
      <c r="J245" s="385"/>
      <c r="K245" s="385"/>
      <c r="L245" s="385"/>
      <c r="M245" s="385"/>
      <c r="N245" s="387" t="str">
        <f t="shared" si="718"/>
        <v>Trend Ėu - Gimnázium 2010-2019</v>
      </c>
      <c r="O245" s="387"/>
      <c r="P245" s="387"/>
      <c r="Q245" s="387"/>
      <c r="R245" s="387"/>
      <c r="S245" s="387"/>
      <c r="AA245" s="59"/>
      <c r="AW245" s="59"/>
      <c r="AX245" s="59"/>
    </row>
    <row r="246" spans="2:50" x14ac:dyDescent="0.35">
      <c r="B246" t="str">
        <f t="shared" si="717"/>
        <v>I7 Technikum</v>
      </c>
      <c r="C246" t="s">
        <v>110</v>
      </c>
      <c r="D246" s="385"/>
      <c r="E246" s="385"/>
      <c r="F246" s="390"/>
      <c r="G246" s="390"/>
      <c r="H246" s="390"/>
      <c r="I246" s="390"/>
      <c r="J246" s="385"/>
      <c r="K246" s="385"/>
      <c r="L246" s="385"/>
      <c r="M246" s="385"/>
      <c r="N246" s="387" t="str">
        <f t="shared" si="718"/>
        <v>Trend Ėu - Technikum 2010-2019</v>
      </c>
      <c r="O246" s="387"/>
      <c r="P246" s="387"/>
      <c r="Q246" s="387"/>
      <c r="R246" s="387"/>
      <c r="S246" s="387"/>
      <c r="AA246" s="59"/>
      <c r="AW246" s="59"/>
      <c r="AX246" s="59"/>
    </row>
    <row r="247" spans="2:50" x14ac:dyDescent="0.35">
      <c r="B247" t="str">
        <f t="shared" si="717"/>
        <v>I8 Főiskola</v>
      </c>
      <c r="C247" t="s">
        <v>111</v>
      </c>
      <c r="D247" s="385"/>
      <c r="E247" s="385"/>
      <c r="F247" s="390"/>
      <c r="G247" s="390"/>
      <c r="H247" s="390"/>
      <c r="I247" s="390"/>
      <c r="J247" s="385"/>
      <c r="K247" s="385"/>
      <c r="L247" s="385"/>
      <c r="M247" s="385"/>
      <c r="N247" s="387" t="str">
        <f t="shared" si="718"/>
        <v>Trend Ėu - Főiskola 2010-2019</v>
      </c>
      <c r="O247" s="387"/>
      <c r="P247" s="387"/>
      <c r="Q247" s="387"/>
      <c r="R247" s="387"/>
      <c r="S247" s="387"/>
      <c r="AA247" s="59"/>
      <c r="AW247" s="59"/>
      <c r="AX247" s="59"/>
    </row>
    <row r="248" spans="2:50" x14ac:dyDescent="0.35">
      <c r="B248" t="str">
        <f t="shared" si="717"/>
        <v>I9 Egyetem</v>
      </c>
      <c r="C248" t="s">
        <v>112</v>
      </c>
      <c r="D248" s="385"/>
      <c r="E248" s="385"/>
      <c r="F248" s="390"/>
      <c r="G248" s="390"/>
      <c r="H248" s="390"/>
      <c r="I248" s="390"/>
      <c r="J248" s="385"/>
      <c r="K248" s="385"/>
      <c r="L248" s="385"/>
      <c r="M248" s="385"/>
      <c r="N248" s="387" t="str">
        <f t="shared" si="718"/>
        <v>Trend Ėu - Egyetem 2010-2019</v>
      </c>
      <c r="O248" s="387"/>
      <c r="P248" s="387"/>
      <c r="Q248" s="387"/>
      <c r="R248" s="387"/>
      <c r="S248" s="387"/>
      <c r="AA248" s="59"/>
      <c r="AW248" s="59"/>
      <c r="AX248" s="59"/>
    </row>
    <row r="249" spans="2:50" x14ac:dyDescent="0.35">
      <c r="B249" t="str">
        <f t="shared" si="717"/>
        <v>Összesen</v>
      </c>
      <c r="C249" t="s">
        <v>21</v>
      </c>
      <c r="D249" s="137" t="s">
        <v>953</v>
      </c>
      <c r="E249" s="137" t="s">
        <v>841</v>
      </c>
      <c r="F249" s="137" t="s">
        <v>841</v>
      </c>
      <c r="G249" s="137" t="s">
        <v>817</v>
      </c>
      <c r="H249" s="137" t="s">
        <v>825</v>
      </c>
      <c r="I249" s="137" t="s">
        <v>833</v>
      </c>
      <c r="J249" s="137" t="s">
        <v>845</v>
      </c>
      <c r="K249" s="137" t="s">
        <v>849</v>
      </c>
      <c r="L249" s="137" t="s">
        <v>853</v>
      </c>
      <c r="M249" s="137" t="s">
        <v>857</v>
      </c>
      <c r="N249" s="65">
        <f>SUM(N242:N248)</f>
        <v>0</v>
      </c>
      <c r="O249" s="66">
        <f t="shared" ref="O249:S249" si="719">SUM(O242:O248)</f>
        <v>0</v>
      </c>
      <c r="P249" s="66">
        <f t="shared" si="719"/>
        <v>0</v>
      </c>
      <c r="Q249" s="66">
        <f t="shared" si="719"/>
        <v>0</v>
      </c>
      <c r="R249" s="66">
        <f t="shared" si="719"/>
        <v>0</v>
      </c>
      <c r="S249" s="61">
        <f t="shared" si="719"/>
        <v>0</v>
      </c>
      <c r="AA249" s="59"/>
      <c r="AW249" s="59"/>
      <c r="AX249" s="59"/>
    </row>
    <row r="250" spans="2:50" x14ac:dyDescent="0.35">
      <c r="B250" t="s">
        <v>163</v>
      </c>
      <c r="D250" s="60"/>
      <c r="E250" s="54"/>
      <c r="F250" s="54"/>
      <c r="G250" s="54"/>
      <c r="H250" s="54"/>
      <c r="I250" s="54"/>
      <c r="J250" s="54"/>
      <c r="K250" s="54"/>
      <c r="L250" s="54"/>
      <c r="M250" s="69"/>
      <c r="N250" s="65"/>
      <c r="O250" s="66"/>
      <c r="P250" s="66"/>
      <c r="Q250" s="66"/>
      <c r="R250" s="66"/>
      <c r="S250" s="61"/>
    </row>
    <row r="251" spans="2:50" x14ac:dyDescent="0.35">
      <c r="D251" s="60"/>
      <c r="E251" s="54"/>
      <c r="F251" s="54"/>
      <c r="G251" s="54"/>
      <c r="H251" s="54"/>
      <c r="I251" s="54"/>
      <c r="J251" s="54"/>
      <c r="K251" s="54"/>
      <c r="L251" s="54"/>
      <c r="M251" s="69"/>
      <c r="N251" s="65"/>
      <c r="O251" s="66"/>
      <c r="P251" s="66"/>
      <c r="Q251" s="66"/>
      <c r="R251" s="66"/>
      <c r="S251" s="61"/>
    </row>
    <row r="252" spans="2:50" x14ac:dyDescent="0.35">
      <c r="D252" s="55">
        <f>D227</f>
        <v>2010</v>
      </c>
      <c r="E252" s="30">
        <f t="shared" ref="E252:S252" si="720">E227</f>
        <v>2011</v>
      </c>
      <c r="F252" s="30">
        <f t="shared" si="720"/>
        <v>2012</v>
      </c>
      <c r="G252" s="30">
        <f t="shared" si="720"/>
        <v>2013</v>
      </c>
      <c r="H252" s="30">
        <f t="shared" si="720"/>
        <v>2014</v>
      </c>
      <c r="I252" s="30">
        <f t="shared" si="720"/>
        <v>2015</v>
      </c>
      <c r="J252" s="30">
        <f t="shared" si="720"/>
        <v>2016</v>
      </c>
      <c r="K252" s="30">
        <f t="shared" si="720"/>
        <v>2017</v>
      </c>
      <c r="L252" s="30">
        <f t="shared" si="720"/>
        <v>2018</v>
      </c>
      <c r="M252" s="56">
        <f t="shared" si="720"/>
        <v>2019</v>
      </c>
      <c r="N252" s="55">
        <f t="shared" si="720"/>
        <v>2020</v>
      </c>
      <c r="O252" s="30">
        <f t="shared" si="720"/>
        <v>2021</v>
      </c>
      <c r="P252" s="30">
        <f t="shared" si="720"/>
        <v>2022</v>
      </c>
      <c r="Q252" s="30">
        <f t="shared" si="720"/>
        <v>2023</v>
      </c>
      <c r="R252" s="30">
        <f t="shared" si="720"/>
        <v>2024</v>
      </c>
      <c r="S252" s="56">
        <f t="shared" si="720"/>
        <v>2025</v>
      </c>
    </row>
    <row r="253" spans="2:50" x14ac:dyDescent="0.35">
      <c r="D253" s="70" t="str">
        <f t="shared" ref="D253" si="721">E201</f>
        <v>Gyártás</v>
      </c>
      <c r="E253" s="71" t="str">
        <f t="shared" ref="E253" si="722">I201</f>
        <v>Gyártás</v>
      </c>
      <c r="F253" s="71" t="str">
        <f t="shared" ref="F253" si="723">M201</f>
        <v>Gyártás</v>
      </c>
      <c r="G253" s="71" t="str">
        <f t="shared" ref="G253" si="724">Q201</f>
        <v>Gyártás</v>
      </c>
      <c r="H253" s="71" t="str">
        <f t="shared" ref="H253" si="725">U201</f>
        <v>Gyártás</v>
      </c>
      <c r="I253" s="71" t="str">
        <f t="shared" ref="I253" si="726">Y201</f>
        <v>Gyártás</v>
      </c>
      <c r="J253" s="71" t="str">
        <f t="shared" ref="J253" si="727">AC201</f>
        <v>Gyártás</v>
      </c>
      <c r="K253" s="71" t="str">
        <f t="shared" ref="K253" si="728">AG201</f>
        <v>Gyártás</v>
      </c>
      <c r="L253" s="71" t="str">
        <f t="shared" ref="L253" si="729">AK201</f>
        <v>Gyártás</v>
      </c>
      <c r="M253" s="72" t="str">
        <f t="shared" ref="M253" si="730">AO201</f>
        <v>Gyártás</v>
      </c>
      <c r="N253" s="70" t="str">
        <f>M253</f>
        <v>Gyártás</v>
      </c>
      <c r="O253" s="71" t="str">
        <f>N253</f>
        <v>Gyártás</v>
      </c>
      <c r="P253" s="71" t="str">
        <f t="shared" ref="P253" si="731">O253</f>
        <v>Gyártás</v>
      </c>
      <c r="Q253" s="71" t="str">
        <f t="shared" ref="Q253" si="732">P253</f>
        <v>Gyártás</v>
      </c>
      <c r="R253" s="71" t="str">
        <f t="shared" ref="R253" si="733">Q253</f>
        <v>Gyártás</v>
      </c>
      <c r="S253" s="72" t="str">
        <f t="shared" ref="S253" si="734">R253</f>
        <v>Gyártás</v>
      </c>
      <c r="AS253" s="71"/>
      <c r="AT253" s="71"/>
    </row>
    <row r="254" spans="2:50" ht="14.5" customHeight="1" x14ac:dyDescent="0.35">
      <c r="B254" t="str">
        <f t="shared" ref="B254:C254" si="735">B229</f>
        <v>0 FEGYVERES SZERVEK FOGLALKOZÁSAI</v>
      </c>
      <c r="C254" t="str">
        <f t="shared" si="735"/>
        <v>Fegyveresek</v>
      </c>
      <c r="D254" s="385" t="s">
        <v>1088</v>
      </c>
      <c r="E254" s="385" t="s">
        <v>1089</v>
      </c>
      <c r="F254" s="385" t="s">
        <v>1090</v>
      </c>
      <c r="G254" s="385" t="s">
        <v>1091</v>
      </c>
      <c r="H254" s="385" t="s">
        <v>1092</v>
      </c>
      <c r="I254" s="385" t="s">
        <v>1093</v>
      </c>
      <c r="J254" s="385" t="s">
        <v>1094</v>
      </c>
      <c r="K254" s="385" t="s">
        <v>1095</v>
      </c>
      <c r="L254" s="385" t="s">
        <v>1096</v>
      </c>
      <c r="M254" s="385" t="s">
        <v>1097</v>
      </c>
      <c r="N254" s="387" t="str">
        <f>CONCATENATE("Trend Ḟg - ",C254," 2010-2019")</f>
        <v>Trend Ḟg - Fegyveresek 2010-2019</v>
      </c>
      <c r="O254" s="387"/>
      <c r="P254" s="387"/>
      <c r="Q254" s="387"/>
      <c r="R254" s="387"/>
      <c r="S254" s="387"/>
      <c r="AS254" s="66"/>
      <c r="AT254" s="66"/>
    </row>
    <row r="255" spans="2:50" x14ac:dyDescent="0.35">
      <c r="B255" t="str">
        <f t="shared" ref="B255:C255" si="736">B230</f>
        <v>1 GAZDASÁGI, IGAZGATÁSI, ÉRDEK-KÉPVISELETI VEZETŐK, TÖRVÉNYHOZÓK</v>
      </c>
      <c r="C255" t="str">
        <f t="shared" si="736"/>
        <v>Vezetők</v>
      </c>
      <c r="D255" s="385"/>
      <c r="E255" s="385"/>
      <c r="F255" s="385"/>
      <c r="G255" s="385"/>
      <c r="H255" s="385"/>
      <c r="I255" s="385"/>
      <c r="J255" s="385"/>
      <c r="K255" s="385"/>
      <c r="L255" s="385"/>
      <c r="M255" s="385"/>
      <c r="N255" s="387" t="str">
        <f t="shared" ref="N255:N263" si="737">CONCATENATE("Trend Ḟg - ",C255," 2010-2019")</f>
        <v>Trend Ḟg - Vezetők 2010-2019</v>
      </c>
      <c r="O255" s="387"/>
      <c r="P255" s="387"/>
      <c r="Q255" s="387"/>
      <c r="R255" s="387"/>
      <c r="S255" s="387"/>
      <c r="AS255" s="66"/>
      <c r="AT255" s="66"/>
    </row>
    <row r="256" spans="2:50" x14ac:dyDescent="0.35">
      <c r="B256" t="str">
        <f t="shared" ref="B256:C256" si="738">B231</f>
        <v>2 FELSŐFOKÚ KÉPZETTSÉG ÖNÁLLÓ ALKALMAZÁSÁT IGÉNYLŐ FOGLALKOZÁSOK</v>
      </c>
      <c r="C256" t="str">
        <f t="shared" si="738"/>
        <v>Felsőfokúak</v>
      </c>
      <c r="D256" s="385"/>
      <c r="E256" s="385"/>
      <c r="F256" s="385"/>
      <c r="G256" s="385"/>
      <c r="H256" s="385"/>
      <c r="I256" s="385"/>
      <c r="J256" s="385"/>
      <c r="K256" s="385"/>
      <c r="L256" s="385"/>
      <c r="M256" s="385"/>
      <c r="N256" s="387" t="str">
        <f t="shared" si="737"/>
        <v>Trend Ḟg - Felsőfokúak 2010-2019</v>
      </c>
      <c r="O256" s="387"/>
      <c r="P256" s="387"/>
      <c r="Q256" s="387"/>
      <c r="R256" s="387"/>
      <c r="S256" s="387"/>
      <c r="AS256" s="66"/>
      <c r="AT256" s="66"/>
    </row>
    <row r="257" spans="2:46" x14ac:dyDescent="0.35">
      <c r="B257" t="str">
        <f t="shared" ref="B257:C257" si="739">B232</f>
        <v>3 EGYÉB FELSŐFOKÚ VAGY KÖZÉPFOKÚ KÉPZETTSÉGET IGÉNYLŐ FOGLALKOZÁSOK</v>
      </c>
      <c r="C257" t="str">
        <f t="shared" si="739"/>
        <v>Egyéb felső</v>
      </c>
      <c r="D257" s="385"/>
      <c r="E257" s="385"/>
      <c r="F257" s="385"/>
      <c r="G257" s="385"/>
      <c r="H257" s="385"/>
      <c r="I257" s="385"/>
      <c r="J257" s="385"/>
      <c r="K257" s="385"/>
      <c r="L257" s="385"/>
      <c r="M257" s="385"/>
      <c r="N257" s="387" t="str">
        <f t="shared" si="737"/>
        <v>Trend Ḟg - Egyéb felső 2010-2019</v>
      </c>
      <c r="O257" s="387"/>
      <c r="P257" s="387"/>
      <c r="Q257" s="387"/>
      <c r="R257" s="387"/>
      <c r="S257" s="387"/>
      <c r="AS257" s="66"/>
      <c r="AT257" s="66"/>
    </row>
    <row r="258" spans="2:46" x14ac:dyDescent="0.35">
      <c r="B258" t="str">
        <f t="shared" ref="B258:C258" si="740">B233</f>
        <v>4 IRODAI ÉS ÜGYVITELI (ÜGYFÉLKAPCSOLATI) FOGLALKOZÁSOK</v>
      </c>
      <c r="C258" t="str">
        <f t="shared" si="740"/>
        <v>Iroda-ügyvitel</v>
      </c>
      <c r="D258" s="385"/>
      <c r="E258" s="385"/>
      <c r="F258" s="385"/>
      <c r="G258" s="385"/>
      <c r="H258" s="385"/>
      <c r="I258" s="385"/>
      <c r="J258" s="385"/>
      <c r="K258" s="385"/>
      <c r="L258" s="385"/>
      <c r="M258" s="385"/>
      <c r="N258" s="387" t="str">
        <f t="shared" si="737"/>
        <v>Trend Ḟg - Iroda-ügyvitel 2010-2019</v>
      </c>
      <c r="O258" s="387"/>
      <c r="P258" s="387"/>
      <c r="Q258" s="387"/>
      <c r="R258" s="387"/>
      <c r="S258" s="387"/>
      <c r="AS258" s="66"/>
      <c r="AT258" s="66"/>
    </row>
    <row r="259" spans="2:46" x14ac:dyDescent="0.35">
      <c r="B259" t="str">
        <f t="shared" ref="B259:C259" si="741">B234</f>
        <v>5 KERESKEDELMI ÉS SZOLGÁLTATÁSI FOGLALKOZÁSOK</v>
      </c>
      <c r="C259" t="str">
        <f t="shared" si="741"/>
        <v>Ker-szolg</v>
      </c>
      <c r="D259" s="385"/>
      <c r="E259" s="385"/>
      <c r="F259" s="385"/>
      <c r="G259" s="385"/>
      <c r="H259" s="385"/>
      <c r="I259" s="385"/>
      <c r="J259" s="385"/>
      <c r="K259" s="385"/>
      <c r="L259" s="385"/>
      <c r="M259" s="385"/>
      <c r="N259" s="387" t="str">
        <f t="shared" si="737"/>
        <v>Trend Ḟg - Ker-szolg 2010-2019</v>
      </c>
      <c r="O259" s="387"/>
      <c r="P259" s="387"/>
      <c r="Q259" s="387"/>
      <c r="R259" s="387"/>
      <c r="S259" s="387"/>
      <c r="AS259" s="66"/>
      <c r="AT259" s="66"/>
    </row>
    <row r="260" spans="2:46" x14ac:dyDescent="0.35">
      <c r="B260" t="str">
        <f t="shared" ref="B260:C260" si="742">B235</f>
        <v>6 MEZŐGAZDASÁGI ÉS ERDŐGAZDÁLKODÁSI FOGLALKOZÁSOK</v>
      </c>
      <c r="C260" t="str">
        <f t="shared" si="742"/>
        <v>Mező-erdő</v>
      </c>
      <c r="D260" s="385"/>
      <c r="E260" s="385"/>
      <c r="F260" s="385"/>
      <c r="G260" s="385"/>
      <c r="H260" s="385"/>
      <c r="I260" s="385"/>
      <c r="J260" s="385"/>
      <c r="K260" s="385"/>
      <c r="L260" s="385"/>
      <c r="M260" s="385"/>
      <c r="N260" s="387" t="str">
        <f t="shared" si="737"/>
        <v>Trend Ḟg - Mező-erdő 2010-2019</v>
      </c>
      <c r="O260" s="387"/>
      <c r="P260" s="387"/>
      <c r="Q260" s="387"/>
      <c r="R260" s="387"/>
      <c r="S260" s="387"/>
      <c r="AS260" s="66"/>
      <c r="AT260" s="66"/>
    </row>
    <row r="261" spans="2:46" x14ac:dyDescent="0.35">
      <c r="B261" t="str">
        <f t="shared" ref="B261:C261" si="743">B236</f>
        <v>7 IPARI ÉS ÉPÍTŐIPARI FOGLALKOZÁSOK</v>
      </c>
      <c r="C261" t="str">
        <f t="shared" si="743"/>
        <v>ipar-épip.</v>
      </c>
      <c r="D261" s="385"/>
      <c r="E261" s="385"/>
      <c r="F261" s="385"/>
      <c r="G261" s="385"/>
      <c r="H261" s="385"/>
      <c r="I261" s="385"/>
      <c r="J261" s="385"/>
      <c r="K261" s="385"/>
      <c r="L261" s="385"/>
      <c r="M261" s="385"/>
      <c r="N261" s="387" t="str">
        <f t="shared" si="737"/>
        <v>Trend Ḟg - ipar-épip. 2010-2019</v>
      </c>
      <c r="O261" s="387"/>
      <c r="P261" s="387"/>
      <c r="Q261" s="387"/>
      <c r="R261" s="387"/>
      <c r="S261" s="387"/>
      <c r="AS261" s="66"/>
      <c r="AT261" s="66"/>
    </row>
    <row r="262" spans="2:46" x14ac:dyDescent="0.35">
      <c r="B262" t="str">
        <f t="shared" ref="B262:C262" si="744">B237</f>
        <v>8 GÉPKEZELŐK, ÖSSZESZERELŐK, JÁRMŰVEZETŐK</v>
      </c>
      <c r="C262" t="str">
        <f t="shared" si="744"/>
        <v>Összeszerelők</v>
      </c>
      <c r="D262" s="385"/>
      <c r="E262" s="385"/>
      <c r="F262" s="385"/>
      <c r="G262" s="385"/>
      <c r="H262" s="385"/>
      <c r="I262" s="385"/>
      <c r="J262" s="385"/>
      <c r="K262" s="385"/>
      <c r="L262" s="385"/>
      <c r="M262" s="385"/>
      <c r="N262" s="387" t="str">
        <f t="shared" si="737"/>
        <v>Trend Ḟg - Összeszerelők 2010-2019</v>
      </c>
      <c r="O262" s="387"/>
      <c r="P262" s="387"/>
      <c r="Q262" s="387"/>
      <c r="R262" s="387"/>
      <c r="S262" s="387"/>
      <c r="AS262" s="66"/>
      <c r="AT262" s="66"/>
    </row>
    <row r="263" spans="2:46" x14ac:dyDescent="0.35">
      <c r="B263" t="str">
        <f t="shared" ref="B263:C263" si="745">B238</f>
        <v>9 SZAKKÉPZETTSÉGET NEM IGÉNYLŐ (EGYSZERŰ) FOGLALKOZÁSOK</v>
      </c>
      <c r="C263" t="str">
        <f t="shared" si="745"/>
        <v>szakképzetlen</v>
      </c>
      <c r="D263" s="385"/>
      <c r="E263" s="385"/>
      <c r="F263" s="385"/>
      <c r="G263" s="385"/>
      <c r="H263" s="385"/>
      <c r="I263" s="385"/>
      <c r="J263" s="385"/>
      <c r="K263" s="385"/>
      <c r="L263" s="385"/>
      <c r="M263" s="385"/>
      <c r="N263" s="387" t="str">
        <f t="shared" si="737"/>
        <v>Trend Ḟg - szakképzetlen 2010-2019</v>
      </c>
      <c r="O263" s="387"/>
      <c r="P263" s="387"/>
      <c r="Q263" s="387"/>
      <c r="R263" s="387"/>
      <c r="S263" s="387"/>
      <c r="AS263" s="66"/>
      <c r="AT263" s="66"/>
    </row>
    <row r="264" spans="2:46" x14ac:dyDescent="0.35">
      <c r="B264" t="str">
        <f t="shared" ref="B264:C264" si="746">B239</f>
        <v>Összesen</v>
      </c>
      <c r="C264" t="str">
        <f t="shared" si="746"/>
        <v>összesen</v>
      </c>
      <c r="D264" s="137" t="s">
        <v>1098</v>
      </c>
      <c r="E264" s="137" t="s">
        <v>1099</v>
      </c>
      <c r="F264" s="137" t="s">
        <v>1100</v>
      </c>
      <c r="G264" s="137" t="s">
        <v>1101</v>
      </c>
      <c r="H264" s="137" t="s">
        <v>1102</v>
      </c>
      <c r="I264" s="137" t="s">
        <v>1103</v>
      </c>
      <c r="J264" s="137" t="s">
        <v>1104</v>
      </c>
      <c r="K264" s="137" t="s">
        <v>1105</v>
      </c>
      <c r="L264" s="137" t="s">
        <v>1106</v>
      </c>
      <c r="M264" s="137" t="s">
        <v>1107</v>
      </c>
      <c r="N264" s="65">
        <f>SUM(N254:N263)</f>
        <v>0</v>
      </c>
      <c r="O264" s="66">
        <f t="shared" ref="O264:S264" si="747">SUM(O254:O263)</f>
        <v>0</v>
      </c>
      <c r="P264" s="66">
        <f t="shared" si="747"/>
        <v>0</v>
      </c>
      <c r="Q264" s="66">
        <f t="shared" si="747"/>
        <v>0</v>
      </c>
      <c r="R264" s="66">
        <f t="shared" si="747"/>
        <v>0</v>
      </c>
      <c r="S264" s="61">
        <f t="shared" si="747"/>
        <v>0</v>
      </c>
      <c r="AS264" s="66"/>
      <c r="AT264" s="66"/>
    </row>
    <row r="265" spans="2:46" x14ac:dyDescent="0.35">
      <c r="B265" t="s">
        <v>163</v>
      </c>
      <c r="D265" s="60"/>
      <c r="E265" s="60"/>
      <c r="F265" s="60"/>
      <c r="G265" s="60"/>
      <c r="H265" s="60"/>
      <c r="I265" s="60"/>
      <c r="J265" s="60"/>
      <c r="K265" s="60"/>
      <c r="L265" s="60"/>
      <c r="M265" s="60"/>
      <c r="N265" s="65"/>
      <c r="O265" s="66"/>
      <c r="P265" s="66"/>
      <c r="Q265" s="66"/>
      <c r="R265" s="66"/>
      <c r="S265" s="61"/>
      <c r="AS265" s="66"/>
      <c r="AT265" s="66"/>
    </row>
    <row r="266" spans="2:46" x14ac:dyDescent="0.35">
      <c r="D266" s="60"/>
      <c r="E266" s="60"/>
      <c r="F266" s="60"/>
      <c r="G266" s="60"/>
      <c r="H266" s="60"/>
      <c r="I266" s="60"/>
      <c r="J266" s="60"/>
      <c r="K266" s="60"/>
      <c r="L266" s="60"/>
      <c r="M266" s="60"/>
      <c r="N266" s="65"/>
      <c r="O266" s="66"/>
      <c r="P266" s="66"/>
      <c r="Q266" s="66"/>
      <c r="R266" s="66"/>
      <c r="S266" s="61"/>
      <c r="AS266" s="66"/>
      <c r="AT266" s="66"/>
    </row>
    <row r="267" spans="2:46" ht="14.5" customHeight="1" x14ac:dyDescent="0.35">
      <c r="B267" t="str">
        <f t="shared" ref="B267:C267" si="748">B242</f>
        <v>I1 Általános Iskola 0-7 osztály</v>
      </c>
      <c r="C267" t="str">
        <f t="shared" si="748"/>
        <v>0-7 osztály</v>
      </c>
      <c r="D267" s="389" t="s">
        <v>1108</v>
      </c>
      <c r="E267" s="389" t="s">
        <v>1109</v>
      </c>
      <c r="F267" s="389" t="s">
        <v>1110</v>
      </c>
      <c r="G267" s="389" t="s">
        <v>1111</v>
      </c>
      <c r="H267" s="389" t="s">
        <v>1112</v>
      </c>
      <c r="I267" s="389" t="s">
        <v>1113</v>
      </c>
      <c r="J267" s="389" t="s">
        <v>1114</v>
      </c>
      <c r="K267" s="389" t="s">
        <v>1115</v>
      </c>
      <c r="L267" s="389" t="s">
        <v>1116</v>
      </c>
      <c r="M267" s="389" t="s">
        <v>1117</v>
      </c>
      <c r="N267" s="387" t="str">
        <f>CONCATENATE("Trend Ėg - ",C267," 2010-2019")</f>
        <v>Trend Ėg - 0-7 osztály 2010-2019</v>
      </c>
      <c r="O267" s="387"/>
      <c r="P267" s="387"/>
      <c r="Q267" s="387"/>
      <c r="R267" s="387"/>
      <c r="S267" s="387"/>
      <c r="AS267" s="66"/>
      <c r="AT267" s="66"/>
    </row>
    <row r="268" spans="2:46" x14ac:dyDescent="0.35">
      <c r="B268" t="str">
        <f t="shared" ref="B268:C268" si="749">B243</f>
        <v>I2 Általános Iskola 8 osztály</v>
      </c>
      <c r="C268" t="str">
        <f t="shared" si="749"/>
        <v>8 osztály</v>
      </c>
      <c r="D268" s="385"/>
      <c r="E268" s="385"/>
      <c r="F268" s="385"/>
      <c r="G268" s="385"/>
      <c r="H268" s="385"/>
      <c r="I268" s="385"/>
      <c r="J268" s="385"/>
      <c r="K268" s="385"/>
      <c r="L268" s="385"/>
      <c r="M268" s="385"/>
      <c r="N268" s="387" t="str">
        <f t="shared" ref="N268:N273" si="750">CONCATENATE("Trend Ėg - ",C268," 2010-2019")</f>
        <v>Trend Ėg - 8 osztály 2010-2019</v>
      </c>
      <c r="O268" s="387"/>
      <c r="P268" s="387"/>
      <c r="Q268" s="387"/>
      <c r="R268" s="387"/>
      <c r="S268" s="387"/>
      <c r="AS268" s="66"/>
      <c r="AT268" s="66"/>
    </row>
    <row r="269" spans="2:46" x14ac:dyDescent="0.35">
      <c r="B269" t="str">
        <f t="shared" ref="B269:C269" si="751">B244</f>
        <v>I3-I5 Szakiskola, Szakmunkásképző iskola, Szakközépiskola</v>
      </c>
      <c r="C269" t="str">
        <f t="shared" si="751"/>
        <v>szakiskola</v>
      </c>
      <c r="D269" s="385"/>
      <c r="E269" s="385"/>
      <c r="F269" s="385"/>
      <c r="G269" s="385"/>
      <c r="H269" s="385"/>
      <c r="I269" s="385"/>
      <c r="J269" s="385"/>
      <c r="K269" s="385"/>
      <c r="L269" s="385"/>
      <c r="M269" s="385"/>
      <c r="N269" s="387" t="str">
        <f t="shared" si="750"/>
        <v>Trend Ėg - szakiskola 2010-2019</v>
      </c>
      <c r="O269" s="387"/>
      <c r="P269" s="387"/>
      <c r="Q269" s="387"/>
      <c r="R269" s="387"/>
      <c r="S269" s="387"/>
      <c r="AS269" s="66"/>
      <c r="AT269" s="66"/>
    </row>
    <row r="270" spans="2:46" x14ac:dyDescent="0.35">
      <c r="B270" t="str">
        <f t="shared" ref="B270:C270" si="752">B245</f>
        <v>I6 Gimnázium</v>
      </c>
      <c r="C270" t="str">
        <f t="shared" si="752"/>
        <v>Gimnázium</v>
      </c>
      <c r="D270" s="385"/>
      <c r="E270" s="385"/>
      <c r="F270" s="385"/>
      <c r="G270" s="385"/>
      <c r="H270" s="385"/>
      <c r="I270" s="385"/>
      <c r="J270" s="385"/>
      <c r="K270" s="385"/>
      <c r="L270" s="385"/>
      <c r="M270" s="385"/>
      <c r="N270" s="387" t="str">
        <f t="shared" si="750"/>
        <v>Trend Ėg - Gimnázium 2010-2019</v>
      </c>
      <c r="O270" s="387"/>
      <c r="P270" s="387"/>
      <c r="Q270" s="387"/>
      <c r="R270" s="387"/>
      <c r="S270" s="387"/>
      <c r="AS270" s="66"/>
      <c r="AT270" s="66"/>
    </row>
    <row r="271" spans="2:46" x14ac:dyDescent="0.35">
      <c r="B271" t="str">
        <f t="shared" ref="B271:C271" si="753">B246</f>
        <v>I7 Technikum</v>
      </c>
      <c r="C271" t="str">
        <f t="shared" si="753"/>
        <v>Technikum</v>
      </c>
      <c r="D271" s="385"/>
      <c r="E271" s="385"/>
      <c r="F271" s="385"/>
      <c r="G271" s="385"/>
      <c r="H271" s="385"/>
      <c r="I271" s="385"/>
      <c r="J271" s="385"/>
      <c r="K271" s="385"/>
      <c r="L271" s="385"/>
      <c r="M271" s="385"/>
      <c r="N271" s="387" t="str">
        <f t="shared" si="750"/>
        <v>Trend Ėg - Technikum 2010-2019</v>
      </c>
      <c r="O271" s="387"/>
      <c r="P271" s="387"/>
      <c r="Q271" s="387"/>
      <c r="R271" s="387"/>
      <c r="S271" s="387"/>
      <c r="AS271" s="66"/>
      <c r="AT271" s="66"/>
    </row>
    <row r="272" spans="2:46" x14ac:dyDescent="0.35">
      <c r="B272" t="str">
        <f t="shared" ref="B272:C272" si="754">B247</f>
        <v>I8 Főiskola</v>
      </c>
      <c r="C272" t="str">
        <f t="shared" si="754"/>
        <v>Főiskola</v>
      </c>
      <c r="D272" s="385"/>
      <c r="E272" s="385"/>
      <c r="F272" s="385"/>
      <c r="G272" s="385"/>
      <c r="H272" s="385"/>
      <c r="I272" s="385"/>
      <c r="J272" s="385"/>
      <c r="K272" s="385"/>
      <c r="L272" s="385"/>
      <c r="M272" s="385"/>
      <c r="N272" s="387" t="str">
        <f t="shared" si="750"/>
        <v>Trend Ėg - Főiskola 2010-2019</v>
      </c>
      <c r="O272" s="387"/>
      <c r="P272" s="387"/>
      <c r="Q272" s="387"/>
      <c r="R272" s="387"/>
      <c r="S272" s="387"/>
      <c r="AS272" s="66"/>
      <c r="AT272" s="66"/>
    </row>
    <row r="273" spans="2:46" x14ac:dyDescent="0.35">
      <c r="B273" t="str">
        <f t="shared" ref="B273:C273" si="755">B248</f>
        <v>I9 Egyetem</v>
      </c>
      <c r="C273" t="str">
        <f t="shared" si="755"/>
        <v>Egyetem</v>
      </c>
      <c r="D273" s="385"/>
      <c r="E273" s="385"/>
      <c r="F273" s="385"/>
      <c r="G273" s="385"/>
      <c r="H273" s="385"/>
      <c r="I273" s="385"/>
      <c r="J273" s="385"/>
      <c r="K273" s="385"/>
      <c r="L273" s="385"/>
      <c r="M273" s="385"/>
      <c r="N273" s="387" t="str">
        <f t="shared" si="750"/>
        <v>Trend Ėg - Egyetem 2010-2019</v>
      </c>
      <c r="O273" s="387"/>
      <c r="P273" s="387"/>
      <c r="Q273" s="387"/>
      <c r="R273" s="387"/>
      <c r="S273" s="387"/>
      <c r="AS273" s="66"/>
      <c r="AT273" s="66"/>
    </row>
    <row r="274" spans="2:46" x14ac:dyDescent="0.35">
      <c r="B274" t="str">
        <f t="shared" ref="B274:C274" si="756">B249</f>
        <v>Összesen</v>
      </c>
      <c r="C274" t="str">
        <f t="shared" si="756"/>
        <v>Összesen</v>
      </c>
      <c r="D274" s="137" t="s">
        <v>1118</v>
      </c>
      <c r="E274" s="137" t="s">
        <v>1119</v>
      </c>
      <c r="F274" s="137" t="s">
        <v>1120</v>
      </c>
      <c r="G274" s="137" t="s">
        <v>1121</v>
      </c>
      <c r="H274" s="137" t="s">
        <v>1122</v>
      </c>
      <c r="I274" s="137" t="s">
        <v>1123</v>
      </c>
      <c r="J274" s="137" t="s">
        <v>1124</v>
      </c>
      <c r="K274" s="137" t="s">
        <v>1125</v>
      </c>
      <c r="L274" s="137" t="s">
        <v>1126</v>
      </c>
      <c r="M274" s="137" t="s">
        <v>1127</v>
      </c>
      <c r="N274" s="65">
        <f>SUM(N267:N273)</f>
        <v>0</v>
      </c>
      <c r="O274" s="66">
        <f t="shared" ref="O274:S274" si="757">SUM(O267:O273)</f>
        <v>0</v>
      </c>
      <c r="P274" s="66">
        <f t="shared" si="757"/>
        <v>0</v>
      </c>
      <c r="Q274" s="66">
        <f t="shared" si="757"/>
        <v>0</v>
      </c>
      <c r="R274" s="66">
        <f t="shared" si="757"/>
        <v>0</v>
      </c>
      <c r="S274" s="61">
        <f t="shared" si="757"/>
        <v>0</v>
      </c>
      <c r="AS274" s="66"/>
      <c r="AT274" s="66"/>
    </row>
    <row r="275" spans="2:46" x14ac:dyDescent="0.35">
      <c r="B275" t="s">
        <v>163</v>
      </c>
      <c r="D275" s="60"/>
      <c r="E275" s="54"/>
      <c r="F275" s="54"/>
      <c r="G275" s="54"/>
      <c r="H275" s="54"/>
      <c r="I275" s="54"/>
      <c r="J275" s="54"/>
      <c r="K275" s="54"/>
      <c r="L275" s="54"/>
      <c r="M275" s="69"/>
      <c r="N275" s="65"/>
      <c r="O275" s="66"/>
      <c r="P275" s="66"/>
      <c r="Q275" s="66"/>
      <c r="R275" s="66"/>
      <c r="S275" s="61"/>
    </row>
    <row r="276" spans="2:46" x14ac:dyDescent="0.35">
      <c r="D276" s="10"/>
      <c r="E276" s="11"/>
      <c r="F276" s="11"/>
      <c r="G276" s="11"/>
      <c r="H276" s="11"/>
      <c r="I276" s="11"/>
      <c r="J276" s="11"/>
      <c r="K276" s="11"/>
      <c r="L276" s="11"/>
      <c r="M276" s="47"/>
      <c r="N276" s="65"/>
      <c r="O276" s="66"/>
      <c r="P276" s="66"/>
      <c r="Q276" s="66"/>
      <c r="R276" s="66"/>
      <c r="S276" s="47"/>
    </row>
    <row r="277" spans="2:46" x14ac:dyDescent="0.35">
      <c r="D277" s="55">
        <f>D252</f>
        <v>2010</v>
      </c>
      <c r="E277" s="30">
        <f t="shared" ref="E277:S277" si="758">E252</f>
        <v>2011</v>
      </c>
      <c r="F277" s="30">
        <f t="shared" si="758"/>
        <v>2012</v>
      </c>
      <c r="G277" s="30">
        <f t="shared" si="758"/>
        <v>2013</v>
      </c>
      <c r="H277" s="30">
        <f t="shared" si="758"/>
        <v>2014</v>
      </c>
      <c r="I277" s="30">
        <f t="shared" si="758"/>
        <v>2015</v>
      </c>
      <c r="J277" s="30">
        <f t="shared" si="758"/>
        <v>2016</v>
      </c>
      <c r="K277" s="30">
        <f t="shared" si="758"/>
        <v>2017</v>
      </c>
      <c r="L277" s="30">
        <f t="shared" si="758"/>
        <v>2018</v>
      </c>
      <c r="M277" s="56">
        <f t="shared" si="758"/>
        <v>2019</v>
      </c>
      <c r="N277" s="55">
        <f t="shared" si="758"/>
        <v>2020</v>
      </c>
      <c r="O277" s="30">
        <f t="shared" si="758"/>
        <v>2021</v>
      </c>
      <c r="P277" s="30">
        <f t="shared" si="758"/>
        <v>2022</v>
      </c>
      <c r="Q277" s="30">
        <f t="shared" si="758"/>
        <v>2023</v>
      </c>
      <c r="R277" s="30">
        <f t="shared" si="758"/>
        <v>2024</v>
      </c>
      <c r="S277" s="56">
        <f t="shared" si="758"/>
        <v>2025</v>
      </c>
    </row>
    <row r="278" spans="2:46" x14ac:dyDescent="0.35">
      <c r="D278" s="70" t="str">
        <f t="shared" ref="D278" si="759">F201</f>
        <v>Downstream</v>
      </c>
      <c r="E278" s="71" t="str">
        <f t="shared" ref="E278" si="760">J201</f>
        <v>Downstream</v>
      </c>
      <c r="F278" s="71" t="str">
        <f t="shared" ref="F278" si="761">N201</f>
        <v>Downstream</v>
      </c>
      <c r="G278" s="71" t="str">
        <f t="shared" ref="G278" si="762">R201</f>
        <v>Downstream</v>
      </c>
      <c r="H278" s="71" t="str">
        <f t="shared" ref="H278" si="763">V201</f>
        <v>Downstream</v>
      </c>
      <c r="I278" s="71" t="str">
        <f t="shared" ref="I278" si="764">Z201</f>
        <v>Downstream</v>
      </c>
      <c r="J278" s="71" t="str">
        <f t="shared" ref="J278" si="765">AD201</f>
        <v>Downstream</v>
      </c>
      <c r="K278" s="71" t="str">
        <f t="shared" ref="K278" si="766">AH201</f>
        <v>Downstream</v>
      </c>
      <c r="L278" s="71" t="str">
        <f t="shared" ref="L278" si="767">AL201</f>
        <v>Downstream</v>
      </c>
      <c r="M278" s="72" t="str">
        <f t="shared" ref="M278" si="768">AP201</f>
        <v>Downstream</v>
      </c>
      <c r="N278" s="70" t="str">
        <f>M278</f>
        <v>Downstream</v>
      </c>
      <c r="O278" s="71" t="str">
        <f>N278</f>
        <v>Downstream</v>
      </c>
      <c r="P278" s="71" t="str">
        <f t="shared" ref="P278" si="769">O278</f>
        <v>Downstream</v>
      </c>
      <c r="Q278" s="71" t="str">
        <f t="shared" ref="Q278" si="770">P278</f>
        <v>Downstream</v>
      </c>
      <c r="R278" s="71" t="str">
        <f t="shared" ref="R278" si="771">Q278</f>
        <v>Downstream</v>
      </c>
      <c r="S278" s="72" t="str">
        <f t="shared" ref="S278" si="772">R278</f>
        <v>Downstream</v>
      </c>
      <c r="AS278" s="71"/>
      <c r="AT278" s="71"/>
    </row>
    <row r="279" spans="2:46" x14ac:dyDescent="0.35">
      <c r="B279" t="str">
        <f t="shared" ref="B279:C279" si="773">B254</f>
        <v>0 FEGYVERES SZERVEK FOGLALKOZÁSAI</v>
      </c>
      <c r="C279" t="str">
        <f t="shared" si="773"/>
        <v>Fegyveresek</v>
      </c>
      <c r="D279" s="385" t="s">
        <v>954</v>
      </c>
      <c r="E279" s="385" t="s">
        <v>858</v>
      </c>
      <c r="F279" s="385" t="s">
        <v>810</v>
      </c>
      <c r="G279" s="385" t="s">
        <v>818</v>
      </c>
      <c r="H279" s="385" t="s">
        <v>826</v>
      </c>
      <c r="I279" s="385" t="s">
        <v>834</v>
      </c>
      <c r="J279" s="385" t="s">
        <v>862</v>
      </c>
      <c r="K279" s="385" t="s">
        <v>866</v>
      </c>
      <c r="L279" s="385" t="s">
        <v>870</v>
      </c>
      <c r="M279" s="385" t="s">
        <v>874</v>
      </c>
      <c r="N279" s="387" t="str">
        <f>CONCATENATE("Trend Ḟd - ",C279," 2010-2019")</f>
        <v>Trend Ḟd - Fegyveresek 2010-2019</v>
      </c>
      <c r="O279" s="387"/>
      <c r="P279" s="387"/>
      <c r="Q279" s="387"/>
      <c r="R279" s="387"/>
      <c r="S279" s="387"/>
      <c r="AS279" s="66"/>
      <c r="AT279" s="66"/>
    </row>
    <row r="280" spans="2:46" x14ac:dyDescent="0.35">
      <c r="B280" t="str">
        <f t="shared" ref="B280:C280" si="774">B255</f>
        <v>1 GAZDASÁGI, IGAZGATÁSI, ÉRDEK-KÉPVISELETI VEZETŐK, TÖRVÉNYHOZÓK</v>
      </c>
      <c r="C280" t="str">
        <f t="shared" si="774"/>
        <v>Vezetők</v>
      </c>
      <c r="D280" s="385"/>
      <c r="E280" s="385"/>
      <c r="F280" s="385"/>
      <c r="G280" s="385"/>
      <c r="H280" s="385"/>
      <c r="I280" s="385"/>
      <c r="J280" s="385"/>
      <c r="K280" s="385"/>
      <c r="L280" s="385"/>
      <c r="M280" s="385"/>
      <c r="N280" s="387" t="str">
        <f t="shared" ref="N280:N288" si="775">CONCATENATE("Trend Ḟd - ",C280," 2010-2019")</f>
        <v>Trend Ḟd - Vezetők 2010-2019</v>
      </c>
      <c r="O280" s="387"/>
      <c r="P280" s="387"/>
      <c r="Q280" s="387"/>
      <c r="R280" s="387"/>
      <c r="S280" s="387"/>
      <c r="AS280" s="66"/>
      <c r="AT280" s="66"/>
    </row>
    <row r="281" spans="2:46" x14ac:dyDescent="0.35">
      <c r="B281" t="str">
        <f t="shared" ref="B281:C281" si="776">B256</f>
        <v>2 FELSŐFOKÚ KÉPZETTSÉG ÖNÁLLÓ ALKALMAZÁSÁT IGÉNYLŐ FOGLALKOZÁSOK</v>
      </c>
      <c r="C281" t="str">
        <f t="shared" si="776"/>
        <v>Felsőfokúak</v>
      </c>
      <c r="D281" s="385"/>
      <c r="E281" s="385"/>
      <c r="F281" s="385"/>
      <c r="G281" s="385"/>
      <c r="H281" s="385"/>
      <c r="I281" s="385"/>
      <c r="J281" s="385"/>
      <c r="K281" s="385"/>
      <c r="L281" s="385"/>
      <c r="M281" s="385"/>
      <c r="N281" s="387" t="str">
        <f t="shared" si="775"/>
        <v>Trend Ḟd - Felsőfokúak 2010-2019</v>
      </c>
      <c r="O281" s="387"/>
      <c r="P281" s="387"/>
      <c r="Q281" s="387"/>
      <c r="R281" s="387"/>
      <c r="S281" s="387"/>
      <c r="AS281" s="66"/>
      <c r="AT281" s="66"/>
    </row>
    <row r="282" spans="2:46" x14ac:dyDescent="0.35">
      <c r="B282" t="str">
        <f t="shared" ref="B282:C282" si="777">B257</f>
        <v>3 EGYÉB FELSŐFOKÚ VAGY KÖZÉPFOKÚ KÉPZETTSÉGET IGÉNYLŐ FOGLALKOZÁSOK</v>
      </c>
      <c r="C282" t="str">
        <f t="shared" si="777"/>
        <v>Egyéb felső</v>
      </c>
      <c r="D282" s="385"/>
      <c r="E282" s="385"/>
      <c r="F282" s="385"/>
      <c r="G282" s="385"/>
      <c r="H282" s="385"/>
      <c r="I282" s="385"/>
      <c r="J282" s="385"/>
      <c r="K282" s="385"/>
      <c r="L282" s="385"/>
      <c r="M282" s="385"/>
      <c r="N282" s="387" t="str">
        <f t="shared" si="775"/>
        <v>Trend Ḟd - Egyéb felső 2010-2019</v>
      </c>
      <c r="O282" s="387"/>
      <c r="P282" s="387"/>
      <c r="Q282" s="387"/>
      <c r="R282" s="387"/>
      <c r="S282" s="387"/>
      <c r="AS282" s="66"/>
      <c r="AT282" s="66"/>
    </row>
    <row r="283" spans="2:46" x14ac:dyDescent="0.35">
      <c r="B283" t="str">
        <f t="shared" ref="B283:C283" si="778">B258</f>
        <v>4 IRODAI ÉS ÜGYVITELI (ÜGYFÉLKAPCSOLATI) FOGLALKOZÁSOK</v>
      </c>
      <c r="C283" t="str">
        <f t="shared" si="778"/>
        <v>Iroda-ügyvitel</v>
      </c>
      <c r="D283" s="385"/>
      <c r="E283" s="385"/>
      <c r="F283" s="385"/>
      <c r="G283" s="385"/>
      <c r="H283" s="385"/>
      <c r="I283" s="385"/>
      <c r="J283" s="385"/>
      <c r="K283" s="385"/>
      <c r="L283" s="385"/>
      <c r="M283" s="385"/>
      <c r="N283" s="387" t="str">
        <f t="shared" si="775"/>
        <v>Trend Ḟd - Iroda-ügyvitel 2010-2019</v>
      </c>
      <c r="O283" s="387"/>
      <c r="P283" s="387"/>
      <c r="Q283" s="387"/>
      <c r="R283" s="387"/>
      <c r="S283" s="387"/>
      <c r="AS283" s="66"/>
      <c r="AT283" s="66"/>
    </row>
    <row r="284" spans="2:46" x14ac:dyDescent="0.35">
      <c r="B284" t="str">
        <f t="shared" ref="B284:C284" si="779">B259</f>
        <v>5 KERESKEDELMI ÉS SZOLGÁLTATÁSI FOGLALKOZÁSOK</v>
      </c>
      <c r="C284" t="str">
        <f t="shared" si="779"/>
        <v>Ker-szolg</v>
      </c>
      <c r="D284" s="385"/>
      <c r="E284" s="385"/>
      <c r="F284" s="385"/>
      <c r="G284" s="385"/>
      <c r="H284" s="385"/>
      <c r="I284" s="385"/>
      <c r="J284" s="385"/>
      <c r="K284" s="385"/>
      <c r="L284" s="385"/>
      <c r="M284" s="385"/>
      <c r="N284" s="387" t="str">
        <f t="shared" si="775"/>
        <v>Trend Ḟd - Ker-szolg 2010-2019</v>
      </c>
      <c r="O284" s="387"/>
      <c r="P284" s="387"/>
      <c r="Q284" s="387"/>
      <c r="R284" s="387"/>
      <c r="S284" s="387"/>
      <c r="AS284" s="66"/>
      <c r="AT284" s="66"/>
    </row>
    <row r="285" spans="2:46" x14ac:dyDescent="0.35">
      <c r="B285" t="str">
        <f t="shared" ref="B285:C285" si="780">B260</f>
        <v>6 MEZŐGAZDASÁGI ÉS ERDŐGAZDÁLKODÁSI FOGLALKOZÁSOK</v>
      </c>
      <c r="C285" t="str">
        <f t="shared" si="780"/>
        <v>Mező-erdő</v>
      </c>
      <c r="D285" s="385"/>
      <c r="E285" s="385"/>
      <c r="F285" s="385"/>
      <c r="G285" s="385"/>
      <c r="H285" s="385"/>
      <c r="I285" s="385"/>
      <c r="J285" s="385"/>
      <c r="K285" s="385"/>
      <c r="L285" s="385"/>
      <c r="M285" s="385"/>
      <c r="N285" s="387" t="str">
        <f t="shared" si="775"/>
        <v>Trend Ḟd - Mező-erdő 2010-2019</v>
      </c>
      <c r="O285" s="387"/>
      <c r="P285" s="387"/>
      <c r="Q285" s="387"/>
      <c r="R285" s="387"/>
      <c r="S285" s="387"/>
      <c r="AS285" s="66"/>
      <c r="AT285" s="66"/>
    </row>
    <row r="286" spans="2:46" x14ac:dyDescent="0.35">
      <c r="B286" t="str">
        <f t="shared" ref="B286:C286" si="781">B261</f>
        <v>7 IPARI ÉS ÉPÍTŐIPARI FOGLALKOZÁSOK</v>
      </c>
      <c r="C286" t="str">
        <f t="shared" si="781"/>
        <v>ipar-épip.</v>
      </c>
      <c r="D286" s="385"/>
      <c r="E286" s="385"/>
      <c r="F286" s="385"/>
      <c r="G286" s="385"/>
      <c r="H286" s="385"/>
      <c r="I286" s="385"/>
      <c r="J286" s="385"/>
      <c r="K286" s="385"/>
      <c r="L286" s="385"/>
      <c r="M286" s="385"/>
      <c r="N286" s="387" t="str">
        <f t="shared" si="775"/>
        <v>Trend Ḟd - ipar-épip. 2010-2019</v>
      </c>
      <c r="O286" s="387"/>
      <c r="P286" s="387"/>
      <c r="Q286" s="387"/>
      <c r="R286" s="387"/>
      <c r="S286" s="387"/>
      <c r="AS286" s="66"/>
      <c r="AT286" s="66"/>
    </row>
    <row r="287" spans="2:46" x14ac:dyDescent="0.35">
      <c r="B287" t="str">
        <f t="shared" ref="B287:C287" si="782">B262</f>
        <v>8 GÉPKEZELŐK, ÖSSZESZERELŐK, JÁRMŰVEZETŐK</v>
      </c>
      <c r="C287" t="str">
        <f t="shared" si="782"/>
        <v>Összeszerelők</v>
      </c>
      <c r="D287" s="385"/>
      <c r="E287" s="385"/>
      <c r="F287" s="385"/>
      <c r="G287" s="385"/>
      <c r="H287" s="385"/>
      <c r="I287" s="385"/>
      <c r="J287" s="385"/>
      <c r="K287" s="385"/>
      <c r="L287" s="385"/>
      <c r="M287" s="385"/>
      <c r="N287" s="387" t="str">
        <f t="shared" si="775"/>
        <v>Trend Ḟd - Összeszerelők 2010-2019</v>
      </c>
      <c r="O287" s="387"/>
      <c r="P287" s="387"/>
      <c r="Q287" s="387"/>
      <c r="R287" s="387"/>
      <c r="S287" s="387"/>
      <c r="AS287" s="66"/>
      <c r="AT287" s="66"/>
    </row>
    <row r="288" spans="2:46" x14ac:dyDescent="0.35">
      <c r="B288" t="str">
        <f t="shared" ref="B288:C288" si="783">B263</f>
        <v>9 SZAKKÉPZETTSÉGET NEM IGÉNYLŐ (EGYSZERŰ) FOGLALKOZÁSOK</v>
      </c>
      <c r="C288" t="str">
        <f t="shared" si="783"/>
        <v>szakképzetlen</v>
      </c>
      <c r="D288" s="385"/>
      <c r="E288" s="385"/>
      <c r="F288" s="385"/>
      <c r="G288" s="385"/>
      <c r="H288" s="385"/>
      <c r="I288" s="385"/>
      <c r="J288" s="385"/>
      <c r="K288" s="385"/>
      <c r="L288" s="385"/>
      <c r="M288" s="385"/>
      <c r="N288" s="387" t="str">
        <f t="shared" si="775"/>
        <v>Trend Ḟd - szakképzetlen 2010-2019</v>
      </c>
      <c r="O288" s="387"/>
      <c r="P288" s="387"/>
      <c r="Q288" s="387"/>
      <c r="R288" s="387"/>
      <c r="S288" s="387"/>
      <c r="AS288" s="66"/>
      <c r="AT288" s="66"/>
    </row>
    <row r="289" spans="2:46" x14ac:dyDescent="0.35">
      <c r="B289" t="str">
        <f t="shared" ref="B289:C289" si="784">B264</f>
        <v>Összesen</v>
      </c>
      <c r="C289" t="str">
        <f t="shared" si="784"/>
        <v>összesen</v>
      </c>
      <c r="D289" s="137" t="s">
        <v>955</v>
      </c>
      <c r="E289" s="137" t="s">
        <v>859</v>
      </c>
      <c r="F289" s="137" t="s">
        <v>811</v>
      </c>
      <c r="G289" s="137" t="s">
        <v>819</v>
      </c>
      <c r="H289" s="137" t="s">
        <v>827</v>
      </c>
      <c r="I289" s="137" t="s">
        <v>835</v>
      </c>
      <c r="J289" s="137" t="s">
        <v>863</v>
      </c>
      <c r="K289" s="137" t="s">
        <v>867</v>
      </c>
      <c r="L289" s="137" t="s">
        <v>871</v>
      </c>
      <c r="M289" s="137" t="s">
        <v>875</v>
      </c>
      <c r="N289" s="65">
        <f>SUM(N279:N288)</f>
        <v>0</v>
      </c>
      <c r="O289" s="66">
        <f t="shared" ref="O289:S289" si="785">SUM(O279:O288)</f>
        <v>0</v>
      </c>
      <c r="P289" s="66">
        <f t="shared" si="785"/>
        <v>0</v>
      </c>
      <c r="Q289" s="66">
        <f t="shared" si="785"/>
        <v>0</v>
      </c>
      <c r="R289" s="66">
        <f t="shared" si="785"/>
        <v>0</v>
      </c>
      <c r="S289" s="61">
        <f t="shared" si="785"/>
        <v>0</v>
      </c>
      <c r="AS289" s="66"/>
      <c r="AT289" s="66"/>
    </row>
    <row r="290" spans="2:46" x14ac:dyDescent="0.35">
      <c r="B290" t="str">
        <f>B265</f>
        <v>Kontrol (jó-e az összegzés)</v>
      </c>
      <c r="D290" s="60"/>
      <c r="E290" s="60"/>
      <c r="F290" s="60"/>
      <c r="G290" s="60"/>
      <c r="H290" s="60"/>
      <c r="I290" s="60"/>
      <c r="J290" s="60"/>
      <c r="K290" s="60"/>
      <c r="L290" s="60"/>
      <c r="M290" s="60"/>
      <c r="N290" s="65"/>
      <c r="O290" s="66"/>
      <c r="P290" s="66"/>
      <c r="Q290" s="66"/>
      <c r="R290" s="66"/>
      <c r="S290" s="61"/>
      <c r="AS290" s="66"/>
      <c r="AT290" s="66"/>
    </row>
    <row r="291" spans="2:46" x14ac:dyDescent="0.35">
      <c r="D291" s="60"/>
      <c r="E291" s="60"/>
      <c r="F291" s="60"/>
      <c r="G291" s="60"/>
      <c r="H291" s="60"/>
      <c r="I291" s="60"/>
      <c r="J291" s="60"/>
      <c r="K291" s="60"/>
      <c r="L291" s="60"/>
      <c r="M291" s="60"/>
      <c r="N291" s="65"/>
      <c r="O291" s="66"/>
      <c r="P291" s="66"/>
      <c r="Q291" s="66"/>
      <c r="R291" s="66"/>
      <c r="S291" s="61"/>
      <c r="AS291" s="66"/>
      <c r="AT291" s="66"/>
    </row>
    <row r="292" spans="2:46" x14ac:dyDescent="0.35">
      <c r="B292" t="str">
        <f t="shared" ref="B292:C292" si="786">B267</f>
        <v>I1 Általános Iskola 0-7 osztály</v>
      </c>
      <c r="C292" t="str">
        <f t="shared" si="786"/>
        <v>0-7 osztály</v>
      </c>
      <c r="D292" s="385" t="s">
        <v>956</v>
      </c>
      <c r="E292" s="385" t="s">
        <v>860</v>
      </c>
      <c r="F292" s="385" t="s">
        <v>812</v>
      </c>
      <c r="G292" s="385" t="s">
        <v>820</v>
      </c>
      <c r="H292" s="385" t="s">
        <v>828</v>
      </c>
      <c r="I292" s="385" t="s">
        <v>836</v>
      </c>
      <c r="J292" s="385" t="s">
        <v>864</v>
      </c>
      <c r="K292" s="385" t="s">
        <v>868</v>
      </c>
      <c r="L292" s="385" t="s">
        <v>872</v>
      </c>
      <c r="M292" s="385" t="s">
        <v>876</v>
      </c>
      <c r="N292" s="387" t="str">
        <f>CONCATENATE("Trend Ėd - ",C292," 2010-2019")</f>
        <v>Trend Ėd - 0-7 osztály 2010-2019</v>
      </c>
      <c r="O292" s="387"/>
      <c r="P292" s="387"/>
      <c r="Q292" s="387"/>
      <c r="R292" s="387"/>
      <c r="S292" s="387"/>
      <c r="AS292" s="66"/>
      <c r="AT292" s="66"/>
    </row>
    <row r="293" spans="2:46" x14ac:dyDescent="0.35">
      <c r="B293" t="str">
        <f t="shared" ref="B293:C293" si="787">B268</f>
        <v>I2 Általános Iskola 8 osztály</v>
      </c>
      <c r="C293" t="str">
        <f t="shared" si="787"/>
        <v>8 osztály</v>
      </c>
      <c r="D293" s="385"/>
      <c r="E293" s="385"/>
      <c r="F293" s="385"/>
      <c r="G293" s="385"/>
      <c r="H293" s="385"/>
      <c r="I293" s="385"/>
      <c r="J293" s="385"/>
      <c r="K293" s="385"/>
      <c r="L293" s="385"/>
      <c r="M293" s="385"/>
      <c r="N293" s="387" t="str">
        <f t="shared" ref="N293:N298" si="788">CONCATENATE("Trend Ėd - ",C293," 2010-2019")</f>
        <v>Trend Ėd - 8 osztály 2010-2019</v>
      </c>
      <c r="O293" s="387"/>
      <c r="P293" s="387"/>
      <c r="Q293" s="387"/>
      <c r="R293" s="387"/>
      <c r="S293" s="387"/>
      <c r="AS293" s="66"/>
      <c r="AT293" s="66"/>
    </row>
    <row r="294" spans="2:46" x14ac:dyDescent="0.35">
      <c r="B294" t="str">
        <f t="shared" ref="B294:C294" si="789">B269</f>
        <v>I3-I5 Szakiskola, Szakmunkásképző iskola, Szakközépiskola</v>
      </c>
      <c r="C294" t="str">
        <f t="shared" si="789"/>
        <v>szakiskola</v>
      </c>
      <c r="D294" s="385"/>
      <c r="E294" s="385"/>
      <c r="F294" s="385"/>
      <c r="G294" s="385"/>
      <c r="H294" s="385"/>
      <c r="I294" s="385"/>
      <c r="J294" s="385"/>
      <c r="K294" s="385"/>
      <c r="L294" s="385"/>
      <c r="M294" s="385"/>
      <c r="N294" s="387" t="str">
        <f t="shared" si="788"/>
        <v>Trend Ėd - szakiskola 2010-2019</v>
      </c>
      <c r="O294" s="387"/>
      <c r="P294" s="387"/>
      <c r="Q294" s="387"/>
      <c r="R294" s="387"/>
      <c r="S294" s="387"/>
      <c r="AS294" s="66"/>
      <c r="AT294" s="66"/>
    </row>
    <row r="295" spans="2:46" x14ac:dyDescent="0.35">
      <c r="B295" t="str">
        <f t="shared" ref="B295:C295" si="790">B270</f>
        <v>I6 Gimnázium</v>
      </c>
      <c r="C295" t="str">
        <f t="shared" si="790"/>
        <v>Gimnázium</v>
      </c>
      <c r="D295" s="385"/>
      <c r="E295" s="385"/>
      <c r="F295" s="385"/>
      <c r="G295" s="385"/>
      <c r="H295" s="385"/>
      <c r="I295" s="385"/>
      <c r="J295" s="385"/>
      <c r="K295" s="385"/>
      <c r="L295" s="385"/>
      <c r="M295" s="385"/>
      <c r="N295" s="387" t="str">
        <f t="shared" si="788"/>
        <v>Trend Ėd - Gimnázium 2010-2019</v>
      </c>
      <c r="O295" s="387"/>
      <c r="P295" s="387"/>
      <c r="Q295" s="387"/>
      <c r="R295" s="387"/>
      <c r="S295" s="387"/>
      <c r="AS295" s="66"/>
      <c r="AT295" s="66"/>
    </row>
    <row r="296" spans="2:46" x14ac:dyDescent="0.35">
      <c r="B296" t="str">
        <f t="shared" ref="B296:C296" si="791">B271</f>
        <v>I7 Technikum</v>
      </c>
      <c r="C296" t="str">
        <f t="shared" si="791"/>
        <v>Technikum</v>
      </c>
      <c r="D296" s="385"/>
      <c r="E296" s="385"/>
      <c r="F296" s="385"/>
      <c r="G296" s="385"/>
      <c r="H296" s="385"/>
      <c r="I296" s="385"/>
      <c r="J296" s="385"/>
      <c r="K296" s="385"/>
      <c r="L296" s="385"/>
      <c r="M296" s="385"/>
      <c r="N296" s="387" t="str">
        <f t="shared" si="788"/>
        <v>Trend Ėd - Technikum 2010-2019</v>
      </c>
      <c r="O296" s="387"/>
      <c r="P296" s="387"/>
      <c r="Q296" s="387"/>
      <c r="R296" s="387"/>
      <c r="S296" s="387"/>
      <c r="AS296" s="66"/>
      <c r="AT296" s="66"/>
    </row>
    <row r="297" spans="2:46" x14ac:dyDescent="0.35">
      <c r="B297" t="str">
        <f t="shared" ref="B297:C297" si="792">B272</f>
        <v>I8 Főiskola</v>
      </c>
      <c r="C297" t="str">
        <f t="shared" si="792"/>
        <v>Főiskola</v>
      </c>
      <c r="D297" s="385"/>
      <c r="E297" s="385"/>
      <c r="F297" s="385"/>
      <c r="G297" s="385"/>
      <c r="H297" s="385"/>
      <c r="I297" s="385"/>
      <c r="J297" s="385"/>
      <c r="K297" s="385"/>
      <c r="L297" s="385"/>
      <c r="M297" s="385"/>
      <c r="N297" s="387" t="str">
        <f t="shared" si="788"/>
        <v>Trend Ėd - Főiskola 2010-2019</v>
      </c>
      <c r="O297" s="387"/>
      <c r="P297" s="387"/>
      <c r="Q297" s="387"/>
      <c r="R297" s="387"/>
      <c r="S297" s="387"/>
      <c r="AS297" s="66"/>
      <c r="AT297" s="66"/>
    </row>
    <row r="298" spans="2:46" x14ac:dyDescent="0.35">
      <c r="B298" t="str">
        <f t="shared" ref="B298:C298" si="793">B273</f>
        <v>I9 Egyetem</v>
      </c>
      <c r="C298" t="str">
        <f t="shared" si="793"/>
        <v>Egyetem</v>
      </c>
      <c r="D298" s="385"/>
      <c r="E298" s="385"/>
      <c r="F298" s="385"/>
      <c r="G298" s="385"/>
      <c r="H298" s="385"/>
      <c r="I298" s="385"/>
      <c r="J298" s="385"/>
      <c r="K298" s="385"/>
      <c r="L298" s="385"/>
      <c r="M298" s="385"/>
      <c r="N298" s="387" t="str">
        <f t="shared" si="788"/>
        <v>Trend Ėd - Egyetem 2010-2019</v>
      </c>
      <c r="O298" s="387"/>
      <c r="P298" s="387"/>
      <c r="Q298" s="387"/>
      <c r="R298" s="387"/>
      <c r="S298" s="387"/>
      <c r="AS298" s="66"/>
      <c r="AT298" s="66"/>
    </row>
    <row r="299" spans="2:46" x14ac:dyDescent="0.35">
      <c r="B299" t="str">
        <f t="shared" ref="B299:C299" si="794">B274</f>
        <v>Összesen</v>
      </c>
      <c r="C299" t="str">
        <f t="shared" si="794"/>
        <v>Összesen</v>
      </c>
      <c r="D299" s="137" t="s">
        <v>957</v>
      </c>
      <c r="E299" s="137" t="s">
        <v>861</v>
      </c>
      <c r="F299" s="137" t="s">
        <v>813</v>
      </c>
      <c r="G299" s="137" t="s">
        <v>821</v>
      </c>
      <c r="H299" s="137" t="s">
        <v>829</v>
      </c>
      <c r="I299" s="137" t="s">
        <v>837</v>
      </c>
      <c r="J299" s="137" t="s">
        <v>865</v>
      </c>
      <c r="K299" s="137" t="s">
        <v>869</v>
      </c>
      <c r="L299" s="137" t="s">
        <v>873</v>
      </c>
      <c r="M299" s="137" t="s">
        <v>877</v>
      </c>
      <c r="N299" s="65">
        <f>SUM(N292:N298)</f>
        <v>0</v>
      </c>
      <c r="O299" s="66">
        <f t="shared" ref="O299:S299" si="795">SUM(O292:O298)</f>
        <v>0</v>
      </c>
      <c r="P299" s="66">
        <f t="shared" si="795"/>
        <v>0</v>
      </c>
      <c r="Q299" s="66">
        <f t="shared" si="795"/>
        <v>0</v>
      </c>
      <c r="R299" s="66">
        <f t="shared" si="795"/>
        <v>0</v>
      </c>
      <c r="S299" s="61">
        <f t="shared" si="795"/>
        <v>0</v>
      </c>
      <c r="AS299" s="66"/>
      <c r="AT299" s="66"/>
    </row>
    <row r="300" spans="2:46" x14ac:dyDescent="0.35">
      <c r="B300" t="str">
        <f>B275</f>
        <v>Kontrol (jó-e az összegzés)</v>
      </c>
      <c r="D300" s="60"/>
      <c r="E300" s="54"/>
      <c r="F300" s="54"/>
      <c r="G300" s="54"/>
      <c r="H300" s="54"/>
      <c r="I300" s="54"/>
      <c r="J300" s="54"/>
      <c r="K300" s="54"/>
      <c r="L300" s="54"/>
      <c r="M300" s="69"/>
      <c r="N300" s="65"/>
      <c r="O300" s="66"/>
      <c r="P300" s="66"/>
      <c r="Q300" s="66"/>
      <c r="R300" s="66"/>
      <c r="S300" s="61"/>
      <c r="AS300" s="66"/>
      <c r="AT300" s="66"/>
    </row>
    <row r="301" spans="2:46" x14ac:dyDescent="0.35">
      <c r="D301" s="10"/>
      <c r="E301" s="11"/>
      <c r="F301" s="11"/>
      <c r="G301" s="11"/>
      <c r="H301" s="11"/>
      <c r="I301" s="11"/>
      <c r="J301" s="11"/>
      <c r="K301" s="11"/>
      <c r="L301" s="11"/>
      <c r="M301" s="47"/>
      <c r="N301" s="65"/>
      <c r="O301" s="66"/>
      <c r="P301" s="66"/>
      <c r="Q301" s="66"/>
      <c r="R301" s="66"/>
      <c r="S301" s="47"/>
    </row>
    <row r="302" spans="2:46" x14ac:dyDescent="0.35">
      <c r="D302" s="55">
        <f>D277</f>
        <v>2010</v>
      </c>
      <c r="E302" s="30">
        <f t="shared" ref="E302:S302" si="796">E277</f>
        <v>2011</v>
      </c>
      <c r="F302" s="30">
        <f t="shared" si="796"/>
        <v>2012</v>
      </c>
      <c r="G302" s="30">
        <f t="shared" si="796"/>
        <v>2013</v>
      </c>
      <c r="H302" s="30">
        <f t="shared" si="796"/>
        <v>2014</v>
      </c>
      <c r="I302" s="30">
        <f t="shared" si="796"/>
        <v>2015</v>
      </c>
      <c r="J302" s="30">
        <f t="shared" si="796"/>
        <v>2016</v>
      </c>
      <c r="K302" s="30">
        <f t="shared" si="796"/>
        <v>2017</v>
      </c>
      <c r="L302" s="30">
        <f t="shared" si="796"/>
        <v>2018</v>
      </c>
      <c r="M302" s="56">
        <f t="shared" si="796"/>
        <v>2019</v>
      </c>
      <c r="N302" s="55">
        <f t="shared" si="796"/>
        <v>2020</v>
      </c>
      <c r="O302" s="30">
        <f t="shared" si="796"/>
        <v>2021</v>
      </c>
      <c r="P302" s="30">
        <f t="shared" si="796"/>
        <v>2022</v>
      </c>
      <c r="Q302" s="30">
        <f t="shared" si="796"/>
        <v>2023</v>
      </c>
      <c r="R302" s="30">
        <f t="shared" si="796"/>
        <v>2024</v>
      </c>
      <c r="S302" s="56">
        <f t="shared" si="796"/>
        <v>2025</v>
      </c>
    </row>
    <row r="303" spans="2:46" x14ac:dyDescent="0.35">
      <c r="D303" s="70" t="str">
        <f>G201</f>
        <v>Összesen</v>
      </c>
      <c r="E303" s="71" t="str">
        <f>K201</f>
        <v>Összesen</v>
      </c>
      <c r="F303" s="71" t="str">
        <f>O201</f>
        <v>Összesen</v>
      </c>
      <c r="G303" s="71" t="str">
        <f>S201</f>
        <v>Összesen</v>
      </c>
      <c r="H303" s="71" t="str">
        <f>W201</f>
        <v>Összesen</v>
      </c>
      <c r="I303" s="71" t="str">
        <f>AA201</f>
        <v>Összesen</v>
      </c>
      <c r="J303" s="71" t="str">
        <f>AE201</f>
        <v>Összesen</v>
      </c>
      <c r="K303" s="71" t="str">
        <f>AI201</f>
        <v>Összesen</v>
      </c>
      <c r="L303" s="71" t="str">
        <f>AM201</f>
        <v>Összesen</v>
      </c>
      <c r="M303" s="71" t="str">
        <f>AQ201</f>
        <v>Összesen</v>
      </c>
      <c r="N303" s="75" t="str">
        <f>M303</f>
        <v>Összesen</v>
      </c>
      <c r="O303" s="71" t="str">
        <f>N303</f>
        <v>Összesen</v>
      </c>
      <c r="P303" s="71" t="str">
        <f t="shared" ref="P303" si="797">O303</f>
        <v>Összesen</v>
      </c>
      <c r="Q303" s="71" t="str">
        <f t="shared" ref="Q303" si="798">P303</f>
        <v>Összesen</v>
      </c>
      <c r="R303" s="71" t="str">
        <f t="shared" ref="R303" si="799">Q303</f>
        <v>Összesen</v>
      </c>
      <c r="S303" s="73" t="str">
        <f t="shared" ref="S303" si="800">R303</f>
        <v>Összesen</v>
      </c>
    </row>
    <row r="304" spans="2:46" x14ac:dyDescent="0.35">
      <c r="B304" t="str">
        <f t="shared" ref="B304:C304" si="801">B279</f>
        <v>0 FEGYVERES SZERVEK FOGLALKOZÁSAI</v>
      </c>
      <c r="C304" t="str">
        <f t="shared" si="801"/>
        <v>Fegyveresek</v>
      </c>
      <c r="D304" s="388" t="s">
        <v>958</v>
      </c>
      <c r="E304" s="385" t="s">
        <v>959</v>
      </c>
      <c r="F304" s="385" t="s">
        <v>960</v>
      </c>
      <c r="G304" s="385" t="s">
        <v>961</v>
      </c>
      <c r="H304" s="385" t="s">
        <v>962</v>
      </c>
      <c r="I304" s="385" t="s">
        <v>963</v>
      </c>
      <c r="J304" s="385" t="s">
        <v>964</v>
      </c>
      <c r="K304" s="385" t="s">
        <v>965</v>
      </c>
      <c r="L304" s="385" t="s">
        <v>966</v>
      </c>
      <c r="M304" s="385" t="s">
        <v>967</v>
      </c>
      <c r="N304" s="385" t="s">
        <v>998</v>
      </c>
      <c r="O304" s="385" t="s">
        <v>1002</v>
      </c>
      <c r="P304" s="385" t="s">
        <v>1006</v>
      </c>
      <c r="Q304" s="385" t="s">
        <v>1010</v>
      </c>
      <c r="R304" s="385" t="s">
        <v>1014</v>
      </c>
      <c r="S304" s="386" t="s">
        <v>1018</v>
      </c>
    </row>
    <row r="305" spans="2:19" x14ac:dyDescent="0.35">
      <c r="B305" t="str">
        <f t="shared" ref="B305:C305" si="802">B280</f>
        <v>1 GAZDASÁGI, IGAZGATÁSI, ÉRDEK-KÉPVISELETI VEZETŐK, TÖRVÉNYHOZÓK</v>
      </c>
      <c r="C305" t="str">
        <f t="shared" si="802"/>
        <v>Vezetők</v>
      </c>
      <c r="D305" s="388"/>
      <c r="E305" s="385"/>
      <c r="F305" s="385"/>
      <c r="G305" s="385"/>
      <c r="H305" s="385"/>
      <c r="I305" s="385"/>
      <c r="J305" s="385"/>
      <c r="K305" s="385"/>
      <c r="L305" s="385"/>
      <c r="M305" s="385"/>
      <c r="N305" s="385"/>
      <c r="O305" s="385"/>
      <c r="P305" s="385"/>
      <c r="Q305" s="385"/>
      <c r="R305" s="385"/>
      <c r="S305" s="386"/>
    </row>
    <row r="306" spans="2:19" x14ac:dyDescent="0.35">
      <c r="B306" t="str">
        <f t="shared" ref="B306:C306" si="803">B281</f>
        <v>2 FELSŐFOKÚ KÉPZETTSÉG ÖNÁLLÓ ALKALMAZÁSÁT IGÉNYLŐ FOGLALKOZÁSOK</v>
      </c>
      <c r="C306" t="str">
        <f t="shared" si="803"/>
        <v>Felsőfokúak</v>
      </c>
      <c r="D306" s="388"/>
      <c r="E306" s="385"/>
      <c r="F306" s="385"/>
      <c r="G306" s="385"/>
      <c r="H306" s="385"/>
      <c r="I306" s="385"/>
      <c r="J306" s="385"/>
      <c r="K306" s="385"/>
      <c r="L306" s="385"/>
      <c r="M306" s="385"/>
      <c r="N306" s="385"/>
      <c r="O306" s="385"/>
      <c r="P306" s="385"/>
      <c r="Q306" s="385"/>
      <c r="R306" s="385"/>
      <c r="S306" s="386"/>
    </row>
    <row r="307" spans="2:19" x14ac:dyDescent="0.35">
      <c r="B307" t="str">
        <f t="shared" ref="B307:C307" si="804">B282</f>
        <v>3 EGYÉB FELSŐFOKÚ VAGY KÖZÉPFOKÚ KÉPZETTSÉGET IGÉNYLŐ FOGLALKOZÁSOK</v>
      </c>
      <c r="C307" t="str">
        <f t="shared" si="804"/>
        <v>Egyéb felső</v>
      </c>
      <c r="D307" s="388"/>
      <c r="E307" s="385"/>
      <c r="F307" s="385"/>
      <c r="G307" s="385"/>
      <c r="H307" s="385"/>
      <c r="I307" s="385"/>
      <c r="J307" s="385"/>
      <c r="K307" s="385"/>
      <c r="L307" s="385"/>
      <c r="M307" s="385"/>
      <c r="N307" s="385"/>
      <c r="O307" s="385"/>
      <c r="P307" s="385"/>
      <c r="Q307" s="385"/>
      <c r="R307" s="385"/>
      <c r="S307" s="386"/>
    </row>
    <row r="308" spans="2:19" x14ac:dyDescent="0.35">
      <c r="B308" t="str">
        <f t="shared" ref="B308:C308" si="805">B283</f>
        <v>4 IRODAI ÉS ÜGYVITELI (ÜGYFÉLKAPCSOLATI) FOGLALKOZÁSOK</v>
      </c>
      <c r="C308" t="str">
        <f t="shared" si="805"/>
        <v>Iroda-ügyvitel</v>
      </c>
      <c r="D308" s="388"/>
      <c r="E308" s="385"/>
      <c r="F308" s="385"/>
      <c r="G308" s="385"/>
      <c r="H308" s="385"/>
      <c r="I308" s="385"/>
      <c r="J308" s="385"/>
      <c r="K308" s="385"/>
      <c r="L308" s="385"/>
      <c r="M308" s="385"/>
      <c r="N308" s="385"/>
      <c r="O308" s="385"/>
      <c r="P308" s="385"/>
      <c r="Q308" s="385"/>
      <c r="R308" s="385"/>
      <c r="S308" s="386"/>
    </row>
    <row r="309" spans="2:19" x14ac:dyDescent="0.35">
      <c r="B309" t="str">
        <f t="shared" ref="B309:C309" si="806">B284</f>
        <v>5 KERESKEDELMI ÉS SZOLGÁLTATÁSI FOGLALKOZÁSOK</v>
      </c>
      <c r="C309" t="str">
        <f t="shared" si="806"/>
        <v>Ker-szolg</v>
      </c>
      <c r="D309" s="388"/>
      <c r="E309" s="385"/>
      <c r="F309" s="385"/>
      <c r="G309" s="385"/>
      <c r="H309" s="385"/>
      <c r="I309" s="385"/>
      <c r="J309" s="385"/>
      <c r="K309" s="385"/>
      <c r="L309" s="385"/>
      <c r="M309" s="385"/>
      <c r="N309" s="385"/>
      <c r="O309" s="385"/>
      <c r="P309" s="385"/>
      <c r="Q309" s="385"/>
      <c r="R309" s="385"/>
      <c r="S309" s="386"/>
    </row>
    <row r="310" spans="2:19" x14ac:dyDescent="0.35">
      <c r="B310" t="str">
        <f t="shared" ref="B310:C310" si="807">B285</f>
        <v>6 MEZŐGAZDASÁGI ÉS ERDŐGAZDÁLKODÁSI FOGLALKOZÁSOK</v>
      </c>
      <c r="C310" t="str">
        <f t="shared" si="807"/>
        <v>Mező-erdő</v>
      </c>
      <c r="D310" s="388"/>
      <c r="E310" s="385"/>
      <c r="F310" s="385"/>
      <c r="G310" s="385"/>
      <c r="H310" s="385"/>
      <c r="I310" s="385"/>
      <c r="J310" s="385"/>
      <c r="K310" s="385"/>
      <c r="L310" s="385"/>
      <c r="M310" s="385"/>
      <c r="N310" s="385"/>
      <c r="O310" s="385"/>
      <c r="P310" s="385"/>
      <c r="Q310" s="385"/>
      <c r="R310" s="385"/>
      <c r="S310" s="386"/>
    </row>
    <row r="311" spans="2:19" x14ac:dyDescent="0.35">
      <c r="B311" t="str">
        <f t="shared" ref="B311:C311" si="808">B286</f>
        <v>7 IPARI ÉS ÉPÍTŐIPARI FOGLALKOZÁSOK</v>
      </c>
      <c r="C311" t="str">
        <f t="shared" si="808"/>
        <v>ipar-épip.</v>
      </c>
      <c r="D311" s="388"/>
      <c r="E311" s="385"/>
      <c r="F311" s="385"/>
      <c r="G311" s="385"/>
      <c r="H311" s="385"/>
      <c r="I311" s="385"/>
      <c r="J311" s="385"/>
      <c r="K311" s="385"/>
      <c r="L311" s="385"/>
      <c r="M311" s="385"/>
      <c r="N311" s="385"/>
      <c r="O311" s="385"/>
      <c r="P311" s="385"/>
      <c r="Q311" s="385"/>
      <c r="R311" s="385"/>
      <c r="S311" s="386"/>
    </row>
    <row r="312" spans="2:19" x14ac:dyDescent="0.35">
      <c r="B312" t="str">
        <f t="shared" ref="B312:C312" si="809">B287</f>
        <v>8 GÉPKEZELŐK, ÖSSZESZERELŐK, JÁRMŰVEZETŐK</v>
      </c>
      <c r="C312" t="str">
        <f t="shared" si="809"/>
        <v>Összeszerelők</v>
      </c>
      <c r="D312" s="388"/>
      <c r="E312" s="385"/>
      <c r="F312" s="385"/>
      <c r="G312" s="385"/>
      <c r="H312" s="385"/>
      <c r="I312" s="385"/>
      <c r="J312" s="385"/>
      <c r="K312" s="385"/>
      <c r="L312" s="385"/>
      <c r="M312" s="385"/>
      <c r="N312" s="385"/>
      <c r="O312" s="385"/>
      <c r="P312" s="385"/>
      <c r="Q312" s="385"/>
      <c r="R312" s="385"/>
      <c r="S312" s="386"/>
    </row>
    <row r="313" spans="2:19" x14ac:dyDescent="0.35">
      <c r="B313" t="str">
        <f t="shared" ref="B313:C313" si="810">B288</f>
        <v>9 SZAKKÉPZETTSÉGET NEM IGÉNYLŐ (EGYSZERŰ) FOGLALKOZÁSOK</v>
      </c>
      <c r="C313" t="str">
        <f t="shared" si="810"/>
        <v>szakképzetlen</v>
      </c>
      <c r="D313" s="388"/>
      <c r="E313" s="385"/>
      <c r="F313" s="385"/>
      <c r="G313" s="385"/>
      <c r="H313" s="385"/>
      <c r="I313" s="385"/>
      <c r="J313" s="385"/>
      <c r="K313" s="385"/>
      <c r="L313" s="385"/>
      <c r="M313" s="385"/>
      <c r="N313" s="385"/>
      <c r="O313" s="385"/>
      <c r="P313" s="385"/>
      <c r="Q313" s="385"/>
      <c r="R313" s="385"/>
      <c r="S313" s="386"/>
    </row>
    <row r="314" spans="2:19" x14ac:dyDescent="0.35">
      <c r="B314" t="str">
        <f t="shared" ref="B314:C314" si="811">B289</f>
        <v>Összesen</v>
      </c>
      <c r="C314" t="str">
        <f t="shared" si="811"/>
        <v>összesen</v>
      </c>
      <c r="D314" s="137" t="s">
        <v>978</v>
      </c>
      <c r="E314" s="137" t="s">
        <v>979</v>
      </c>
      <c r="F314" s="137" t="s">
        <v>980</v>
      </c>
      <c r="G314" s="137" t="s">
        <v>981</v>
      </c>
      <c r="H314" s="137" t="s">
        <v>982</v>
      </c>
      <c r="I314" s="137" t="s">
        <v>983</v>
      </c>
      <c r="J314" s="137" t="s">
        <v>984</v>
      </c>
      <c r="K314" s="137" t="s">
        <v>985</v>
      </c>
      <c r="L314" s="137" t="s">
        <v>986</v>
      </c>
      <c r="M314" s="137" t="s">
        <v>987</v>
      </c>
      <c r="N314" s="137" t="s">
        <v>999</v>
      </c>
      <c r="O314" s="137" t="s">
        <v>1003</v>
      </c>
      <c r="P314" s="137" t="s">
        <v>1007</v>
      </c>
      <c r="Q314" s="137" t="s">
        <v>1011</v>
      </c>
      <c r="R314" s="137" t="s">
        <v>1015</v>
      </c>
      <c r="S314" s="138" t="s">
        <v>1019</v>
      </c>
    </row>
    <row r="315" spans="2:19" x14ac:dyDescent="0.35">
      <c r="B315" t="str">
        <f>B290</f>
        <v>Kontrol (jó-e az összegzés)</v>
      </c>
      <c r="D315" s="60"/>
      <c r="E315" s="60"/>
      <c r="F315" s="60"/>
      <c r="G315" s="60"/>
      <c r="H315" s="60"/>
      <c r="I315" s="60"/>
      <c r="J315" s="60"/>
      <c r="K315" s="60"/>
      <c r="L315" s="60"/>
      <c r="M315" s="60"/>
      <c r="N315" s="60"/>
      <c r="O315" s="60"/>
      <c r="P315" s="60"/>
      <c r="Q315" s="60"/>
      <c r="R315" s="60"/>
      <c r="S315" s="115"/>
    </row>
    <row r="316" spans="2:19" x14ac:dyDescent="0.35">
      <c r="D316" s="60"/>
      <c r="E316" s="60"/>
      <c r="F316" s="60"/>
      <c r="G316" s="60"/>
      <c r="H316" s="60"/>
      <c r="I316" s="60"/>
      <c r="J316" s="60"/>
      <c r="K316" s="60"/>
      <c r="L316" s="60"/>
      <c r="M316" s="60"/>
      <c r="N316" s="60"/>
      <c r="O316" s="60"/>
      <c r="P316" s="60"/>
      <c r="Q316" s="60"/>
      <c r="R316" s="60"/>
      <c r="S316" s="115"/>
    </row>
    <row r="317" spans="2:19" x14ac:dyDescent="0.35">
      <c r="B317" t="str">
        <f t="shared" ref="B317:C317" si="812">B292</f>
        <v>I1 Általános Iskola 0-7 osztály</v>
      </c>
      <c r="C317" t="str">
        <f t="shared" si="812"/>
        <v>0-7 osztály</v>
      </c>
      <c r="D317" s="385" t="s">
        <v>968</v>
      </c>
      <c r="E317" s="385" t="s">
        <v>969</v>
      </c>
      <c r="F317" s="385" t="s">
        <v>970</v>
      </c>
      <c r="G317" s="385" t="s">
        <v>971</v>
      </c>
      <c r="H317" s="385" t="s">
        <v>972</v>
      </c>
      <c r="I317" s="385" t="s">
        <v>973</v>
      </c>
      <c r="J317" s="385" t="s">
        <v>974</v>
      </c>
      <c r="K317" s="385" t="s">
        <v>975</v>
      </c>
      <c r="L317" s="385" t="s">
        <v>976</v>
      </c>
      <c r="M317" s="385" t="s">
        <v>977</v>
      </c>
      <c r="N317" s="385" t="s">
        <v>1000</v>
      </c>
      <c r="O317" s="385" t="s">
        <v>1004</v>
      </c>
      <c r="P317" s="385" t="s">
        <v>1008</v>
      </c>
      <c r="Q317" s="385" t="s">
        <v>1012</v>
      </c>
      <c r="R317" s="385" t="s">
        <v>1016</v>
      </c>
      <c r="S317" s="386" t="s">
        <v>1020</v>
      </c>
    </row>
    <row r="318" spans="2:19" x14ac:dyDescent="0.35">
      <c r="B318" t="str">
        <f t="shared" ref="B318:C318" si="813">B293</f>
        <v>I2 Általános Iskola 8 osztály</v>
      </c>
      <c r="C318" t="str">
        <f t="shared" si="813"/>
        <v>8 osztály</v>
      </c>
      <c r="D318" s="385"/>
      <c r="E318" s="385"/>
      <c r="F318" s="385"/>
      <c r="G318" s="385"/>
      <c r="H318" s="385"/>
      <c r="I318" s="385"/>
      <c r="J318" s="385"/>
      <c r="K318" s="385"/>
      <c r="L318" s="385"/>
      <c r="M318" s="385"/>
      <c r="N318" s="385"/>
      <c r="O318" s="385"/>
      <c r="P318" s="385"/>
      <c r="Q318" s="385"/>
      <c r="R318" s="385"/>
      <c r="S318" s="386"/>
    </row>
    <row r="319" spans="2:19" x14ac:dyDescent="0.35">
      <c r="B319" t="str">
        <f t="shared" ref="B319:C319" si="814">B294</f>
        <v>I3-I5 Szakiskola, Szakmunkásképző iskola, Szakközépiskola</v>
      </c>
      <c r="C319" t="str">
        <f t="shared" si="814"/>
        <v>szakiskola</v>
      </c>
      <c r="D319" s="385"/>
      <c r="E319" s="385"/>
      <c r="F319" s="385"/>
      <c r="G319" s="385"/>
      <c r="H319" s="385"/>
      <c r="I319" s="385"/>
      <c r="J319" s="385"/>
      <c r="K319" s="385"/>
      <c r="L319" s="385"/>
      <c r="M319" s="385"/>
      <c r="N319" s="385"/>
      <c r="O319" s="385"/>
      <c r="P319" s="385"/>
      <c r="Q319" s="385"/>
      <c r="R319" s="385"/>
      <c r="S319" s="386"/>
    </row>
    <row r="320" spans="2:19" x14ac:dyDescent="0.35">
      <c r="B320" t="str">
        <f t="shared" ref="B320:C320" si="815">B295</f>
        <v>I6 Gimnázium</v>
      </c>
      <c r="C320" t="str">
        <f t="shared" si="815"/>
        <v>Gimnázium</v>
      </c>
      <c r="D320" s="385"/>
      <c r="E320" s="385"/>
      <c r="F320" s="385"/>
      <c r="G320" s="385"/>
      <c r="H320" s="385"/>
      <c r="I320" s="385"/>
      <c r="J320" s="385"/>
      <c r="K320" s="385"/>
      <c r="L320" s="385"/>
      <c r="M320" s="385"/>
      <c r="N320" s="385"/>
      <c r="O320" s="385"/>
      <c r="P320" s="385"/>
      <c r="Q320" s="385"/>
      <c r="R320" s="385"/>
      <c r="S320" s="386"/>
    </row>
    <row r="321" spans="2:19" x14ac:dyDescent="0.35">
      <c r="B321" t="str">
        <f t="shared" ref="B321:C321" si="816">B296</f>
        <v>I7 Technikum</v>
      </c>
      <c r="C321" t="str">
        <f t="shared" si="816"/>
        <v>Technikum</v>
      </c>
      <c r="D321" s="385"/>
      <c r="E321" s="385"/>
      <c r="F321" s="385"/>
      <c r="G321" s="385"/>
      <c r="H321" s="385"/>
      <c r="I321" s="385"/>
      <c r="J321" s="385"/>
      <c r="K321" s="385"/>
      <c r="L321" s="385"/>
      <c r="M321" s="385"/>
      <c r="N321" s="385"/>
      <c r="O321" s="385"/>
      <c r="P321" s="385"/>
      <c r="Q321" s="385"/>
      <c r="R321" s="385"/>
      <c r="S321" s="386"/>
    </row>
    <row r="322" spans="2:19" x14ac:dyDescent="0.35">
      <c r="B322" t="str">
        <f t="shared" ref="B322:C322" si="817">B297</f>
        <v>I8 Főiskola</v>
      </c>
      <c r="C322" t="str">
        <f t="shared" si="817"/>
        <v>Főiskola</v>
      </c>
      <c r="D322" s="385"/>
      <c r="E322" s="385"/>
      <c r="F322" s="385"/>
      <c r="G322" s="385"/>
      <c r="H322" s="385"/>
      <c r="I322" s="385"/>
      <c r="J322" s="385"/>
      <c r="K322" s="385"/>
      <c r="L322" s="385"/>
      <c r="M322" s="385"/>
      <c r="N322" s="385"/>
      <c r="O322" s="385"/>
      <c r="P322" s="385"/>
      <c r="Q322" s="385"/>
      <c r="R322" s="385"/>
      <c r="S322" s="386"/>
    </row>
    <row r="323" spans="2:19" x14ac:dyDescent="0.35">
      <c r="B323" t="str">
        <f t="shared" ref="B323:C323" si="818">B298</f>
        <v>I9 Egyetem</v>
      </c>
      <c r="C323" t="str">
        <f t="shared" si="818"/>
        <v>Egyetem</v>
      </c>
      <c r="D323" s="385"/>
      <c r="E323" s="385"/>
      <c r="F323" s="385"/>
      <c r="G323" s="385"/>
      <c r="H323" s="385"/>
      <c r="I323" s="385"/>
      <c r="J323" s="385"/>
      <c r="K323" s="385"/>
      <c r="L323" s="385"/>
      <c r="M323" s="385"/>
      <c r="N323" s="385"/>
      <c r="O323" s="385"/>
      <c r="P323" s="385"/>
      <c r="Q323" s="385"/>
      <c r="R323" s="385"/>
      <c r="S323" s="386"/>
    </row>
    <row r="324" spans="2:19" ht="16.5" x14ac:dyDescent="0.35">
      <c r="B324" t="str">
        <f t="shared" ref="B324:C324" si="819">B299</f>
        <v>Összesen</v>
      </c>
      <c r="C324" t="str">
        <f t="shared" si="819"/>
        <v>Összesen</v>
      </c>
      <c r="D324" s="137" t="s">
        <v>988</v>
      </c>
      <c r="E324" s="137" t="s">
        <v>989</v>
      </c>
      <c r="F324" s="137" t="s">
        <v>990</v>
      </c>
      <c r="G324" s="137" t="s">
        <v>991</v>
      </c>
      <c r="H324" s="137" t="s">
        <v>992</v>
      </c>
      <c r="I324" s="137" t="s">
        <v>993</v>
      </c>
      <c r="J324" s="137" t="s">
        <v>994</v>
      </c>
      <c r="K324" s="137" t="s">
        <v>995</v>
      </c>
      <c r="L324" s="137" t="s">
        <v>996</v>
      </c>
      <c r="M324" s="137" t="s">
        <v>997</v>
      </c>
      <c r="N324" s="137" t="s">
        <v>1001</v>
      </c>
      <c r="O324" s="137" t="s">
        <v>1005</v>
      </c>
      <c r="P324" s="137" t="s">
        <v>1009</v>
      </c>
      <c r="Q324" s="137" t="s">
        <v>1013</v>
      </c>
      <c r="R324" s="137" t="s">
        <v>1017</v>
      </c>
      <c r="S324" s="138" t="s">
        <v>1021</v>
      </c>
    </row>
    <row r="325" spans="2:19" x14ac:dyDescent="0.35">
      <c r="B325" t="str">
        <f t="shared" ref="B325" si="820">B300</f>
        <v>Kontrol (jó-e az összegzés)</v>
      </c>
      <c r="D325" s="62"/>
      <c r="E325" s="63"/>
      <c r="F325" s="63"/>
      <c r="G325" s="63"/>
      <c r="H325" s="63"/>
      <c r="I325" s="63"/>
      <c r="J325" s="63"/>
      <c r="K325" s="63"/>
      <c r="L325" s="63"/>
      <c r="M325" s="63"/>
      <c r="N325" s="67"/>
      <c r="O325" s="68"/>
      <c r="P325" s="68"/>
      <c r="Q325" s="68"/>
      <c r="R325" s="68"/>
      <c r="S325" s="64"/>
    </row>
    <row r="326" spans="2:19" x14ac:dyDescent="0.35">
      <c r="D326" s="74"/>
      <c r="E326" s="74"/>
      <c r="F326" s="74"/>
      <c r="G326" s="74"/>
      <c r="H326" s="74"/>
      <c r="I326" s="74"/>
      <c r="J326" s="74"/>
      <c r="K326" s="74"/>
      <c r="L326" s="74"/>
      <c r="M326" s="74"/>
      <c r="N326" s="74"/>
      <c r="O326" s="74"/>
      <c r="P326" s="74"/>
      <c r="Q326" s="74"/>
      <c r="R326" s="74"/>
      <c r="S326" s="74"/>
    </row>
  </sheetData>
  <sheetProtection algorithmName="SHA-512" hashValue="KPrfKTNEVof2AwhjqGCs6IrrJIMwFVgzP3Nf37HUfTGtw7ijR/YxBhxvljv8hXKOayTht4vW41WCjuMsz7ti6Q==" saltValue="cSsyGruMMikeqlhQDh++AA==" spinCount="100000" sheet="1" formatCells="0" formatColumns="0" formatRows="0" insertColumns="0" insertRows="0" insertHyperlinks="0" deleteColumns="0" deleteRows="0"/>
  <mergeCells count="435">
    <mergeCell ref="BL2:BO2"/>
    <mergeCell ref="X2:AA2"/>
    <mergeCell ref="AB2:AE2"/>
    <mergeCell ref="AF2:AI2"/>
    <mergeCell ref="AJ2:AM2"/>
    <mergeCell ref="AN2:AQ2"/>
    <mergeCell ref="AR2:AU2"/>
    <mergeCell ref="AV2:AY2"/>
    <mergeCell ref="AZ2:BC2"/>
    <mergeCell ref="BD2:BG2"/>
    <mergeCell ref="BH2:BK2"/>
    <mergeCell ref="D2:G2"/>
    <mergeCell ref="H2:K2"/>
    <mergeCell ref="L2:O2"/>
    <mergeCell ref="P2:S2"/>
    <mergeCell ref="T2:W2"/>
    <mergeCell ref="X29:AA29"/>
    <mergeCell ref="AB29:AE29"/>
    <mergeCell ref="AF29:AI29"/>
    <mergeCell ref="AJ29:AM29"/>
    <mergeCell ref="H29:K29"/>
    <mergeCell ref="L29:O29"/>
    <mergeCell ref="P29:S29"/>
    <mergeCell ref="T29:W29"/>
    <mergeCell ref="D29:G29"/>
    <mergeCell ref="D39:G39"/>
    <mergeCell ref="H39:K39"/>
    <mergeCell ref="AZ4:BB4"/>
    <mergeCell ref="BD4:BF4"/>
    <mergeCell ref="BH4:BJ4"/>
    <mergeCell ref="BL4:BN4"/>
    <mergeCell ref="BH29:BK29"/>
    <mergeCell ref="AN29:AQ29"/>
    <mergeCell ref="BD39:BG39"/>
    <mergeCell ref="AR29:AU29"/>
    <mergeCell ref="AV29:AY29"/>
    <mergeCell ref="AZ29:BC29"/>
    <mergeCell ref="BD29:BG29"/>
    <mergeCell ref="L39:O39"/>
    <mergeCell ref="P39:S39"/>
    <mergeCell ref="T39:W39"/>
    <mergeCell ref="X39:AA39"/>
    <mergeCell ref="AB39:AE39"/>
    <mergeCell ref="AF39:AI39"/>
    <mergeCell ref="AJ39:AM39"/>
    <mergeCell ref="AN39:AQ39"/>
    <mergeCell ref="AR39:AU39"/>
    <mergeCell ref="AZ41:BB41"/>
    <mergeCell ref="BD41:BF41"/>
    <mergeCell ref="BH41:BJ41"/>
    <mergeCell ref="BL41:BN41"/>
    <mergeCell ref="BL39:BO39"/>
    <mergeCell ref="BL29:BO29"/>
    <mergeCell ref="AV39:AY39"/>
    <mergeCell ref="AZ39:BC39"/>
    <mergeCell ref="AZ53:BB53"/>
    <mergeCell ref="BD53:BF53"/>
    <mergeCell ref="BH53:BJ53"/>
    <mergeCell ref="BL53:BN53"/>
    <mergeCell ref="BH39:BK39"/>
    <mergeCell ref="D168:G168"/>
    <mergeCell ref="H168:K168"/>
    <mergeCell ref="L168:O168"/>
    <mergeCell ref="P168:S168"/>
    <mergeCell ref="T168:W168"/>
    <mergeCell ref="X168:AA168"/>
    <mergeCell ref="AB168:AE168"/>
    <mergeCell ref="AF168:AI168"/>
    <mergeCell ref="AJ168:AM168"/>
    <mergeCell ref="AN168:AQ168"/>
    <mergeCell ref="AR168:AU168"/>
    <mergeCell ref="AV168:AY168"/>
    <mergeCell ref="AZ168:BC168"/>
    <mergeCell ref="BD168:BG168"/>
    <mergeCell ref="BH168:BK168"/>
    <mergeCell ref="BL168:BO168"/>
    <mergeCell ref="AR170:AT170"/>
    <mergeCell ref="AV170:AX170"/>
    <mergeCell ref="AZ170:BB170"/>
    <mergeCell ref="BD170:BF170"/>
    <mergeCell ref="BH170:BJ170"/>
    <mergeCell ref="BL170:BN170"/>
    <mergeCell ref="AI171:AI180"/>
    <mergeCell ref="AJ171:AL180"/>
    <mergeCell ref="AM171:AM180"/>
    <mergeCell ref="D171:F180"/>
    <mergeCell ref="G171:G180"/>
    <mergeCell ref="H171:J180"/>
    <mergeCell ref="K171:K180"/>
    <mergeCell ref="L171:N180"/>
    <mergeCell ref="O171:O180"/>
    <mergeCell ref="P171:R180"/>
    <mergeCell ref="S171:S180"/>
    <mergeCell ref="T171:V180"/>
    <mergeCell ref="AN171:AP180"/>
    <mergeCell ref="AQ171:AQ180"/>
    <mergeCell ref="AU171:AU180"/>
    <mergeCell ref="AY171:AY180"/>
    <mergeCell ref="BC171:BC180"/>
    <mergeCell ref="BG171:BG180"/>
    <mergeCell ref="BK171:BK180"/>
    <mergeCell ref="BO171:BO180"/>
    <mergeCell ref="D181:F181"/>
    <mergeCell ref="H181:J181"/>
    <mergeCell ref="L181:N181"/>
    <mergeCell ref="P181:R181"/>
    <mergeCell ref="T181:V181"/>
    <mergeCell ref="X181:Z181"/>
    <mergeCell ref="AB181:AD181"/>
    <mergeCell ref="AF181:AH181"/>
    <mergeCell ref="AJ181:AL181"/>
    <mergeCell ref="AN181:AP181"/>
    <mergeCell ref="W171:W180"/>
    <mergeCell ref="X171:Z180"/>
    <mergeCell ref="AA171:AA180"/>
    <mergeCell ref="AB171:AD180"/>
    <mergeCell ref="AE171:AE180"/>
    <mergeCell ref="AF171:AH180"/>
    <mergeCell ref="AR182:AT182"/>
    <mergeCell ref="AV182:AX182"/>
    <mergeCell ref="AZ182:BB182"/>
    <mergeCell ref="BD182:BF182"/>
    <mergeCell ref="BH182:BJ182"/>
    <mergeCell ref="BL182:BN182"/>
    <mergeCell ref="D183:F189"/>
    <mergeCell ref="G183:G189"/>
    <mergeCell ref="H183:J189"/>
    <mergeCell ref="K183:K189"/>
    <mergeCell ref="L183:N189"/>
    <mergeCell ref="O183:O189"/>
    <mergeCell ref="P183:R189"/>
    <mergeCell ref="S183:S189"/>
    <mergeCell ref="T183:V189"/>
    <mergeCell ref="W183:W189"/>
    <mergeCell ref="X183:Z189"/>
    <mergeCell ref="AA183:AA189"/>
    <mergeCell ref="AB183:AD189"/>
    <mergeCell ref="AE183:AE189"/>
    <mergeCell ref="AF183:AH189"/>
    <mergeCell ref="AI183:AI189"/>
    <mergeCell ref="AJ183:AL189"/>
    <mergeCell ref="AM183:AM189"/>
    <mergeCell ref="AU183:AU189"/>
    <mergeCell ref="AY183:AY189"/>
    <mergeCell ref="BC183:BC189"/>
    <mergeCell ref="BG183:BG189"/>
    <mergeCell ref="BK183:BK189"/>
    <mergeCell ref="BO183:BO189"/>
    <mergeCell ref="D190:F190"/>
    <mergeCell ref="H190:J190"/>
    <mergeCell ref="L190:N190"/>
    <mergeCell ref="P190:R190"/>
    <mergeCell ref="T190:V190"/>
    <mergeCell ref="X190:Z190"/>
    <mergeCell ref="AB190:AD190"/>
    <mergeCell ref="AF190:AH190"/>
    <mergeCell ref="AJ190:AL190"/>
    <mergeCell ref="AN190:AP190"/>
    <mergeCell ref="L195:O195"/>
    <mergeCell ref="P195:S195"/>
    <mergeCell ref="T195:W195"/>
    <mergeCell ref="X195:AA195"/>
    <mergeCell ref="AB195:AE195"/>
    <mergeCell ref="AF195:AI195"/>
    <mergeCell ref="AJ195:AM195"/>
    <mergeCell ref="AN183:AP189"/>
    <mergeCell ref="AN195:AQ195"/>
    <mergeCell ref="AQ183:AQ189"/>
    <mergeCell ref="AR195:AU195"/>
    <mergeCell ref="AV195:AY195"/>
    <mergeCell ref="AZ195:BC195"/>
    <mergeCell ref="BD195:BG195"/>
    <mergeCell ref="BH195:BK195"/>
    <mergeCell ref="BL195:BO195"/>
    <mergeCell ref="D197:F197"/>
    <mergeCell ref="H197:J197"/>
    <mergeCell ref="L197:N197"/>
    <mergeCell ref="P197:R197"/>
    <mergeCell ref="T197:V197"/>
    <mergeCell ref="X197:Z197"/>
    <mergeCell ref="AB197:AD197"/>
    <mergeCell ref="AF197:AH197"/>
    <mergeCell ref="AJ197:AL197"/>
    <mergeCell ref="AN197:AP197"/>
    <mergeCell ref="AR197:AT197"/>
    <mergeCell ref="AV197:AX197"/>
    <mergeCell ref="AZ197:BB197"/>
    <mergeCell ref="BD197:BF197"/>
    <mergeCell ref="BH197:BJ197"/>
    <mergeCell ref="BL197:BN197"/>
    <mergeCell ref="D195:G195"/>
    <mergeCell ref="H195:K195"/>
    <mergeCell ref="D200:G200"/>
    <mergeCell ref="H200:K200"/>
    <mergeCell ref="L200:O200"/>
    <mergeCell ref="P200:S200"/>
    <mergeCell ref="T200:W200"/>
    <mergeCell ref="X200:AA200"/>
    <mergeCell ref="AB200:AE200"/>
    <mergeCell ref="AF200:AI200"/>
    <mergeCell ref="AJ200:AM200"/>
    <mergeCell ref="AN200:AQ200"/>
    <mergeCell ref="AR200:AU200"/>
    <mergeCell ref="AV200:AY200"/>
    <mergeCell ref="AZ200:BC200"/>
    <mergeCell ref="BD200:BG200"/>
    <mergeCell ref="BH200:BK200"/>
    <mergeCell ref="BL200:BO200"/>
    <mergeCell ref="AR202:AT202"/>
    <mergeCell ref="AV202:AX202"/>
    <mergeCell ref="AZ202:BB202"/>
    <mergeCell ref="BD202:BF202"/>
    <mergeCell ref="BH202:BJ202"/>
    <mergeCell ref="BL202:BN202"/>
    <mergeCell ref="AI203:AI212"/>
    <mergeCell ref="AJ203:AL212"/>
    <mergeCell ref="AM203:AM212"/>
    <mergeCell ref="D203:F212"/>
    <mergeCell ref="G203:G212"/>
    <mergeCell ref="H203:J212"/>
    <mergeCell ref="K203:K212"/>
    <mergeCell ref="L203:N212"/>
    <mergeCell ref="O203:O212"/>
    <mergeCell ref="P203:R212"/>
    <mergeCell ref="S203:S212"/>
    <mergeCell ref="T203:V212"/>
    <mergeCell ref="AN203:AP212"/>
    <mergeCell ref="AQ203:AQ212"/>
    <mergeCell ref="AU203:AU212"/>
    <mergeCell ref="AY203:AY212"/>
    <mergeCell ref="BC203:BC212"/>
    <mergeCell ref="BG203:BG212"/>
    <mergeCell ref="BK203:BK212"/>
    <mergeCell ref="BO203:BO212"/>
    <mergeCell ref="D213:F213"/>
    <mergeCell ref="H213:J213"/>
    <mergeCell ref="L213:N213"/>
    <mergeCell ref="P213:R213"/>
    <mergeCell ref="T213:V213"/>
    <mergeCell ref="X213:Z213"/>
    <mergeCell ref="AB213:AD213"/>
    <mergeCell ref="AF213:AH213"/>
    <mergeCell ref="AJ213:AL213"/>
    <mergeCell ref="AN213:AP213"/>
    <mergeCell ref="W203:W212"/>
    <mergeCell ref="X203:Z212"/>
    <mergeCell ref="AA203:AA212"/>
    <mergeCell ref="AB203:AD212"/>
    <mergeCell ref="AE203:AE212"/>
    <mergeCell ref="AF203:AH212"/>
    <mergeCell ref="AR214:AT214"/>
    <mergeCell ref="AV214:AX214"/>
    <mergeCell ref="AZ214:BB214"/>
    <mergeCell ref="BD214:BF214"/>
    <mergeCell ref="BH214:BJ214"/>
    <mergeCell ref="BL214:BN214"/>
    <mergeCell ref="D215:F221"/>
    <mergeCell ref="G215:G221"/>
    <mergeCell ref="H215:J221"/>
    <mergeCell ref="K215:K221"/>
    <mergeCell ref="L215:N221"/>
    <mergeCell ref="O215:O221"/>
    <mergeCell ref="P215:R221"/>
    <mergeCell ref="S215:S221"/>
    <mergeCell ref="T215:V221"/>
    <mergeCell ref="W215:W221"/>
    <mergeCell ref="X215:Z221"/>
    <mergeCell ref="AA215:AA221"/>
    <mergeCell ref="AB215:AD221"/>
    <mergeCell ref="AE215:AE221"/>
    <mergeCell ref="AF215:AH221"/>
    <mergeCell ref="AI215:AI221"/>
    <mergeCell ref="AJ215:AL221"/>
    <mergeCell ref="AM215:AM221"/>
    <mergeCell ref="AN215:AP221"/>
    <mergeCell ref="AQ215:AQ221"/>
    <mergeCell ref="AU215:AU221"/>
    <mergeCell ref="AY215:AY221"/>
    <mergeCell ref="BC215:BC221"/>
    <mergeCell ref="BG215:BG221"/>
    <mergeCell ref="BK215:BK221"/>
    <mergeCell ref="BO215:BO221"/>
    <mergeCell ref="D222:F222"/>
    <mergeCell ref="H222:J222"/>
    <mergeCell ref="L222:N222"/>
    <mergeCell ref="P222:R222"/>
    <mergeCell ref="T222:V222"/>
    <mergeCell ref="X222:Z222"/>
    <mergeCell ref="AB222:AD222"/>
    <mergeCell ref="AF222:AH222"/>
    <mergeCell ref="AJ222:AL222"/>
    <mergeCell ref="AN222:AP222"/>
    <mergeCell ref="D229:D238"/>
    <mergeCell ref="E229:E238"/>
    <mergeCell ref="F229:F238"/>
    <mergeCell ref="G229:G238"/>
    <mergeCell ref="H229:H238"/>
    <mergeCell ref="I229:I238"/>
    <mergeCell ref="J229:J238"/>
    <mergeCell ref="K229:K238"/>
    <mergeCell ref="L229:L238"/>
    <mergeCell ref="M229:M238"/>
    <mergeCell ref="N229:S229"/>
    <mergeCell ref="N230:S230"/>
    <mergeCell ref="N231:S231"/>
    <mergeCell ref="N232:S232"/>
    <mergeCell ref="N233:S233"/>
    <mergeCell ref="N234:S234"/>
    <mergeCell ref="N235:S235"/>
    <mergeCell ref="N236:S236"/>
    <mergeCell ref="N237:S237"/>
    <mergeCell ref="N238:S238"/>
    <mergeCell ref="D242:D248"/>
    <mergeCell ref="E242:E248"/>
    <mergeCell ref="F242:F248"/>
    <mergeCell ref="G242:G248"/>
    <mergeCell ref="H242:H248"/>
    <mergeCell ref="I242:I248"/>
    <mergeCell ref="J242:J248"/>
    <mergeCell ref="K242:K248"/>
    <mergeCell ref="L242:L248"/>
    <mergeCell ref="M242:M248"/>
    <mergeCell ref="N242:S242"/>
    <mergeCell ref="N243:S243"/>
    <mergeCell ref="N244:S244"/>
    <mergeCell ref="N245:S245"/>
    <mergeCell ref="N246:S246"/>
    <mergeCell ref="N247:S247"/>
    <mergeCell ref="N248:S248"/>
    <mergeCell ref="D254:D263"/>
    <mergeCell ref="E254:E263"/>
    <mergeCell ref="F254:F263"/>
    <mergeCell ref="G254:G263"/>
    <mergeCell ref="H254:H263"/>
    <mergeCell ref="I254:I263"/>
    <mergeCell ref="J254:J263"/>
    <mergeCell ref="K254:K263"/>
    <mergeCell ref="L254:L263"/>
    <mergeCell ref="M254:M263"/>
    <mergeCell ref="N254:S254"/>
    <mergeCell ref="N255:S255"/>
    <mergeCell ref="N256:S256"/>
    <mergeCell ref="N257:S257"/>
    <mergeCell ref="N258:S258"/>
    <mergeCell ref="N259:S259"/>
    <mergeCell ref="N260:S260"/>
    <mergeCell ref="N261:S261"/>
    <mergeCell ref="N262:S262"/>
    <mergeCell ref="N263:S263"/>
    <mergeCell ref="D267:D273"/>
    <mergeCell ref="E267:E273"/>
    <mergeCell ref="F267:F273"/>
    <mergeCell ref="G267:G273"/>
    <mergeCell ref="H267:H273"/>
    <mergeCell ref="I267:I273"/>
    <mergeCell ref="J267:J273"/>
    <mergeCell ref="K267:K273"/>
    <mergeCell ref="L267:L273"/>
    <mergeCell ref="M267:M273"/>
    <mergeCell ref="N267:S267"/>
    <mergeCell ref="N268:S268"/>
    <mergeCell ref="N269:S269"/>
    <mergeCell ref="N270:S270"/>
    <mergeCell ref="N271:S271"/>
    <mergeCell ref="N272:S272"/>
    <mergeCell ref="N273:S273"/>
    <mergeCell ref="D279:D288"/>
    <mergeCell ref="E279:E288"/>
    <mergeCell ref="F279:F288"/>
    <mergeCell ref="G279:G288"/>
    <mergeCell ref="H279:H288"/>
    <mergeCell ref="I279:I288"/>
    <mergeCell ref="J279:J288"/>
    <mergeCell ref="K279:K288"/>
    <mergeCell ref="L279:L288"/>
    <mergeCell ref="M279:M288"/>
    <mergeCell ref="N279:S279"/>
    <mergeCell ref="N280:S280"/>
    <mergeCell ref="N281:S281"/>
    <mergeCell ref="N282:S282"/>
    <mergeCell ref="N283:S283"/>
    <mergeCell ref="N284:S284"/>
    <mergeCell ref="N285:S285"/>
    <mergeCell ref="N286:S286"/>
    <mergeCell ref="N287:S287"/>
    <mergeCell ref="N288:S288"/>
    <mergeCell ref="D292:D298"/>
    <mergeCell ref="E292:E298"/>
    <mergeCell ref="F292:F298"/>
    <mergeCell ref="G292:G298"/>
    <mergeCell ref="H292:H298"/>
    <mergeCell ref="I292:I298"/>
    <mergeCell ref="J292:J298"/>
    <mergeCell ref="K292:K298"/>
    <mergeCell ref="L292:L298"/>
    <mergeCell ref="M292:M298"/>
    <mergeCell ref="N292:S292"/>
    <mergeCell ref="N293:S293"/>
    <mergeCell ref="N294:S294"/>
    <mergeCell ref="N295:S295"/>
    <mergeCell ref="N296:S296"/>
    <mergeCell ref="N297:S297"/>
    <mergeCell ref="N298:S298"/>
    <mergeCell ref="D304:D313"/>
    <mergeCell ref="E304:E313"/>
    <mergeCell ref="F304:F313"/>
    <mergeCell ref="G304:G313"/>
    <mergeCell ref="H304:H313"/>
    <mergeCell ref="I304:I313"/>
    <mergeCell ref="J304:J313"/>
    <mergeCell ref="K304:K313"/>
    <mergeCell ref="L304:L313"/>
    <mergeCell ref="M304:M313"/>
    <mergeCell ref="N304:N313"/>
    <mergeCell ref="O304:O313"/>
    <mergeCell ref="P304:P313"/>
    <mergeCell ref="Q304:Q313"/>
    <mergeCell ref="R304:R313"/>
    <mergeCell ref="S304:S313"/>
    <mergeCell ref="M317:M323"/>
    <mergeCell ref="N317:N323"/>
    <mergeCell ref="O317:O323"/>
    <mergeCell ref="P317:P323"/>
    <mergeCell ref="Q317:Q323"/>
    <mergeCell ref="R317:R323"/>
    <mergeCell ref="S317:S323"/>
    <mergeCell ref="D317:D323"/>
    <mergeCell ref="E317:E323"/>
    <mergeCell ref="F317:F323"/>
    <mergeCell ref="G317:G323"/>
    <mergeCell ref="H317:H323"/>
    <mergeCell ref="I317:I323"/>
    <mergeCell ref="J317:J323"/>
    <mergeCell ref="K317:K323"/>
    <mergeCell ref="L317:L323"/>
  </mergeCells>
  <phoneticPr fontId="5" type="noConversion"/>
  <pageMargins left="0.7" right="0.7" top="0.75" bottom="0.75" header="0.3" footer="0.3"/>
  <pageSetup paperSize="9" orientation="portrait" horizontalDpi="4294967293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D4FB10-8576-4FEA-B2F6-4F242576BBE8}">
  <dimension ref="B2:AL66"/>
  <sheetViews>
    <sheetView topLeftCell="S1" zoomScale="60" zoomScaleNormal="60" workbookViewId="0">
      <selection activeCell="AA17" sqref="AA17"/>
    </sheetView>
  </sheetViews>
  <sheetFormatPr defaultColWidth="8.81640625" defaultRowHeight="14.5" x14ac:dyDescent="0.35"/>
  <cols>
    <col min="1" max="1" width="2" style="183" customWidth="1"/>
    <col min="2" max="2" width="71.26953125" style="183" bestFit="1" customWidth="1"/>
    <col min="3" max="10" width="12.7265625" style="183" customWidth="1"/>
    <col min="11" max="11" width="15.1796875" style="183" customWidth="1"/>
    <col min="12" max="19" width="12.7265625" style="183" customWidth="1"/>
    <col min="20" max="20" width="15.1796875" style="183" customWidth="1"/>
    <col min="21" max="28" width="12.7265625" style="183" customWidth="1"/>
    <col min="29" max="29" width="13.26953125" style="183" bestFit="1" customWidth="1"/>
    <col min="30" max="37" width="12.7265625" style="183" customWidth="1"/>
    <col min="38" max="38" width="13.26953125" style="183" bestFit="1" customWidth="1"/>
    <col min="39" max="16384" width="8.81640625" style="183"/>
  </cols>
  <sheetData>
    <row r="2" spans="2:38" x14ac:dyDescent="0.35">
      <c r="C2" s="354">
        <v>2011</v>
      </c>
      <c r="D2" s="354"/>
      <c r="E2" s="354"/>
      <c r="F2" s="354"/>
      <c r="G2" s="354"/>
      <c r="H2" s="354"/>
      <c r="I2" s="354"/>
      <c r="J2" s="354"/>
      <c r="K2" s="354"/>
      <c r="L2" s="354">
        <v>2015</v>
      </c>
      <c r="M2" s="354">
        <v>0</v>
      </c>
      <c r="N2" s="354">
        <v>0</v>
      </c>
      <c r="O2" s="354">
        <v>0</v>
      </c>
      <c r="P2" s="354">
        <v>0</v>
      </c>
      <c r="Q2" s="354">
        <v>0</v>
      </c>
      <c r="R2" s="354">
        <v>0</v>
      </c>
      <c r="S2" s="354">
        <v>0</v>
      </c>
      <c r="T2" s="354">
        <v>0</v>
      </c>
      <c r="U2" s="354" t="s">
        <v>1151</v>
      </c>
      <c r="V2" s="354" t="e">
        <f>#REF!</f>
        <v>#REF!</v>
      </c>
      <c r="W2" s="354" t="e">
        <f>#REF!</f>
        <v>#REF!</v>
      </c>
      <c r="X2" s="354" t="e">
        <f>#REF!</f>
        <v>#REF!</v>
      </c>
      <c r="Y2" s="354" t="e">
        <f>#REF!</f>
        <v>#REF!</v>
      </c>
      <c r="Z2" s="354" t="e">
        <f>#REF!</f>
        <v>#REF!</v>
      </c>
      <c r="AA2" s="354" t="e">
        <f>#REF!</f>
        <v>#REF!</v>
      </c>
      <c r="AB2" s="354" t="e">
        <f>#REF!</f>
        <v>#REF!</v>
      </c>
      <c r="AC2" s="354" t="e">
        <f>#REF!</f>
        <v>#REF!</v>
      </c>
      <c r="AD2" s="354" t="s">
        <v>1150</v>
      </c>
      <c r="AE2" s="354" t="e">
        <f>#REF!</f>
        <v>#REF!</v>
      </c>
      <c r="AF2" s="354" t="e">
        <f>#REF!</f>
        <v>#REF!</v>
      </c>
      <c r="AG2" s="354" t="e">
        <f>#REF!</f>
        <v>#REF!</v>
      </c>
      <c r="AH2" s="354" t="e">
        <f>#REF!</f>
        <v>#REF!</v>
      </c>
      <c r="AI2" s="354" t="e">
        <f>#REF!</f>
        <v>#REF!</v>
      </c>
      <c r="AJ2" s="354" t="e">
        <f>#REF!</f>
        <v>#REF!</v>
      </c>
      <c r="AK2" s="354" t="e">
        <f>#REF!</f>
        <v>#REF!</v>
      </c>
      <c r="AL2" s="354" t="e">
        <f>#REF!</f>
        <v>#REF!</v>
      </c>
    </row>
    <row r="3" spans="2:38" x14ac:dyDescent="0.35">
      <c r="C3" s="355" t="str">
        <f>'Bázis modell AKM-ei'!L3</f>
        <v>2015 évi áron</v>
      </c>
      <c r="D3" s="352"/>
      <c r="E3" s="352"/>
      <c r="F3" s="352"/>
      <c r="G3" s="352"/>
      <c r="H3" s="352"/>
      <c r="I3" s="352"/>
      <c r="J3" s="352"/>
      <c r="K3" s="384"/>
      <c r="L3" s="355" t="s">
        <v>82</v>
      </c>
      <c r="M3" s="352">
        <v>0</v>
      </c>
      <c r="N3" s="352">
        <v>0</v>
      </c>
      <c r="O3" s="352">
        <v>0</v>
      </c>
      <c r="P3" s="352">
        <v>0</v>
      </c>
      <c r="Q3" s="352">
        <v>0</v>
      </c>
      <c r="R3" s="352">
        <v>0</v>
      </c>
      <c r="S3" s="352">
        <v>0</v>
      </c>
      <c r="T3" s="384">
        <v>0</v>
      </c>
      <c r="U3" s="355" t="str">
        <f>L3</f>
        <v>2015 évi áron</v>
      </c>
      <c r="V3" s="352" t="e">
        <f>#REF!</f>
        <v>#REF!</v>
      </c>
      <c r="W3" s="352" t="e">
        <f>#REF!</f>
        <v>#REF!</v>
      </c>
      <c r="X3" s="352" t="e">
        <f>#REF!</f>
        <v>#REF!</v>
      </c>
      <c r="Y3" s="352" t="e">
        <f>#REF!</f>
        <v>#REF!</v>
      </c>
      <c r="Z3" s="352" t="e">
        <f>#REF!</f>
        <v>#REF!</v>
      </c>
      <c r="AA3" s="352" t="e">
        <f>#REF!</f>
        <v>#REF!</v>
      </c>
      <c r="AB3" s="352" t="e">
        <f>#REF!</f>
        <v>#REF!</v>
      </c>
      <c r="AC3" s="384" t="e">
        <f>#REF!</f>
        <v>#REF!</v>
      </c>
      <c r="AD3" s="355" t="str">
        <f>U3</f>
        <v>2015 évi áron</v>
      </c>
      <c r="AE3" s="352" t="e">
        <f>#REF!</f>
        <v>#REF!</v>
      </c>
      <c r="AF3" s="352" t="e">
        <f>#REF!</f>
        <v>#REF!</v>
      </c>
      <c r="AG3" s="352" t="e">
        <f>#REF!</f>
        <v>#REF!</v>
      </c>
      <c r="AH3" s="352" t="e">
        <f>#REF!</f>
        <v>#REF!</v>
      </c>
      <c r="AI3" s="352" t="e">
        <f>#REF!</f>
        <v>#REF!</v>
      </c>
      <c r="AJ3" s="352" t="e">
        <f>#REF!</f>
        <v>#REF!</v>
      </c>
      <c r="AK3" s="352" t="e">
        <f>#REF!</f>
        <v>#REF!</v>
      </c>
      <c r="AL3" s="384" t="e">
        <f>#REF!</f>
        <v>#REF!</v>
      </c>
    </row>
    <row r="4" spans="2:38" ht="58" x14ac:dyDescent="0.35">
      <c r="C4" s="185" t="s">
        <v>0</v>
      </c>
      <c r="D4" s="185" t="s">
        <v>1</v>
      </c>
      <c r="E4" s="185" t="s">
        <v>2</v>
      </c>
      <c r="F4" s="185" t="s">
        <v>73</v>
      </c>
      <c r="G4" s="185" t="s">
        <v>74</v>
      </c>
      <c r="H4" s="185" t="s">
        <v>75</v>
      </c>
      <c r="I4" s="185" t="s">
        <v>76</v>
      </c>
      <c r="J4" s="185" t="s">
        <v>77</v>
      </c>
      <c r="K4" s="185" t="s">
        <v>78</v>
      </c>
      <c r="L4" s="185" t="str">
        <f>C4</f>
        <v>Upstream</v>
      </c>
      <c r="M4" s="185" t="str">
        <f t="shared" ref="M4:T4" si="0">D4</f>
        <v>Gyártás</v>
      </c>
      <c r="N4" s="185" t="str">
        <f t="shared" si="0"/>
        <v>Downstream</v>
      </c>
      <c r="O4" s="185" t="str">
        <f t="shared" si="0"/>
        <v>Összes input</v>
      </c>
      <c r="P4" s="185" t="str">
        <f t="shared" si="0"/>
        <v>Végső fogyasztási kiadás összesen</v>
      </c>
      <c r="Q4" s="185" t="str">
        <f t="shared" si="0"/>
        <v>Bruttó felhalmozás összesen</v>
      </c>
      <c r="R4" s="185" t="str">
        <f t="shared" si="0"/>
        <v>Export összesen</v>
      </c>
      <c r="S4" s="185" t="str">
        <f t="shared" si="0"/>
        <v>Végső felhasználás összesen</v>
      </c>
      <c r="T4" s="185" t="str">
        <f t="shared" si="0"/>
        <v>Felhasználás összesen</v>
      </c>
      <c r="U4" s="185" t="str">
        <f>L4</f>
        <v>Upstream</v>
      </c>
      <c r="V4" s="185" t="str">
        <f t="shared" ref="V4:AC4" si="1">M4</f>
        <v>Gyártás</v>
      </c>
      <c r="W4" s="185" t="str">
        <f t="shared" si="1"/>
        <v>Downstream</v>
      </c>
      <c r="X4" s="185" t="str">
        <f t="shared" si="1"/>
        <v>Összes input</v>
      </c>
      <c r="Y4" s="185" t="str">
        <f t="shared" si="1"/>
        <v>Végső fogyasztási kiadás összesen</v>
      </c>
      <c r="Z4" s="185" t="str">
        <f t="shared" si="1"/>
        <v>Bruttó felhalmozás összesen</v>
      </c>
      <c r="AA4" s="185" t="str">
        <f t="shared" si="1"/>
        <v>Export összesen</v>
      </c>
      <c r="AB4" s="185" t="str">
        <f t="shared" si="1"/>
        <v>Végső felhasználás összesen</v>
      </c>
      <c r="AC4" s="185" t="str">
        <f t="shared" si="1"/>
        <v>Felhasználás összesen</v>
      </c>
      <c r="AD4" s="185" t="str">
        <f>U4</f>
        <v>Upstream</v>
      </c>
      <c r="AE4" s="185" t="str">
        <f t="shared" ref="AE4:AL4" si="2">V4</f>
        <v>Gyártás</v>
      </c>
      <c r="AF4" s="185" t="str">
        <f t="shared" si="2"/>
        <v>Downstream</v>
      </c>
      <c r="AG4" s="185" t="str">
        <f t="shared" si="2"/>
        <v>Összes input</v>
      </c>
      <c r="AH4" s="185" t="str">
        <f t="shared" si="2"/>
        <v>Végső fogyasztási kiadás összesen</v>
      </c>
      <c r="AI4" s="185" t="str">
        <f t="shared" si="2"/>
        <v>Bruttó felhalmozás összesen</v>
      </c>
      <c r="AJ4" s="185" t="str">
        <f t="shared" si="2"/>
        <v>Export összesen</v>
      </c>
      <c r="AK4" s="185" t="str">
        <f t="shared" si="2"/>
        <v>Végső felhasználás összesen</v>
      </c>
      <c r="AL4" s="185" t="str">
        <f t="shared" si="2"/>
        <v>Felhasználás összesen</v>
      </c>
    </row>
    <row r="5" spans="2:38" x14ac:dyDescent="0.35">
      <c r="B5" s="183" t="s">
        <v>0</v>
      </c>
      <c r="C5" s="180">
        <f>'Bázis modell AKM-ei'!L26</f>
        <v>1694949.7547985173</v>
      </c>
      <c r="D5" s="181">
        <f>'Bázis modell AKM-ei'!M26</f>
        <v>4006646.8575881529</v>
      </c>
      <c r="E5" s="181">
        <f>'Bázis modell AKM-ei'!N26</f>
        <v>852938.49503588316</v>
      </c>
      <c r="F5" s="181">
        <f>'Bázis modell AKM-ei'!O26</f>
        <v>6554535.107422553</v>
      </c>
      <c r="G5" s="181">
        <f>'Bázis modell AKM-ei'!P26</f>
        <v>1268144.3877529805</v>
      </c>
      <c r="H5" s="181">
        <f>'Bázis modell AKM-ei'!Q26</f>
        <v>204283.63706611079</v>
      </c>
      <c r="I5" s="181">
        <f>'Bázis modell AKM-ei'!R26</f>
        <v>2423287.3655908555</v>
      </c>
      <c r="J5" s="181">
        <f>'Bázis modell AKM-ei'!S26</f>
        <v>3895715.3904099464</v>
      </c>
      <c r="K5" s="205">
        <f>'Bázis modell AKM-ei'!T26</f>
        <v>10450250.497832499</v>
      </c>
      <c r="L5" s="180">
        <f>'Bázis modell AKM-ei'!AV26</f>
        <v>1588008.4421433031</v>
      </c>
      <c r="M5" s="181">
        <f>'Bázis modell AKM-ei'!AW26</f>
        <v>3938609.7081354572</v>
      </c>
      <c r="N5" s="181">
        <f>'Bázis modell AKM-ei'!AX26</f>
        <v>820564.56660762033</v>
      </c>
      <c r="O5" s="181">
        <f>'Bázis modell AKM-ei'!AY26</f>
        <v>6347182.7168863807</v>
      </c>
      <c r="P5" s="181">
        <f>'Bázis modell AKM-ei'!AZ26</f>
        <v>1271017.0251440955</v>
      </c>
      <c r="Q5" s="181">
        <f>'Bázis modell AKM-ei'!BA26</f>
        <v>540428.68920898729</v>
      </c>
      <c r="R5" s="181">
        <f>'Bázis modell AKM-ei'!BB26</f>
        <v>3009605.0386397331</v>
      </c>
      <c r="S5" s="181">
        <f>'Bázis modell AKM-ei'!BC26</f>
        <v>4821050.7529928163</v>
      </c>
      <c r="T5" s="205">
        <f>'Bázis modell AKM-ei'!BD26</f>
        <v>11168233.469879197</v>
      </c>
      <c r="U5" s="180">
        <f>'Bázis modell AKM-ei'!EH26</f>
        <v>2293347.2206317233</v>
      </c>
      <c r="V5" s="181">
        <f>'Bázis modell AKM-ei'!EI26</f>
        <v>6201427.4946309607</v>
      </c>
      <c r="W5" s="181">
        <f>'Bázis modell AKM-ei'!EJ26</f>
        <v>1186323.227016214</v>
      </c>
      <c r="X5" s="181">
        <f>'Bázis modell AKM-ei'!EK26</f>
        <v>9681097.9422788993</v>
      </c>
      <c r="Y5" s="181">
        <f>'Bázis modell AKM-ei'!EL26</f>
        <v>1672327.1673679638</v>
      </c>
      <c r="Z5" s="181">
        <f>'Bázis modell AKM-ei'!EM26</f>
        <v>738436.4402283947</v>
      </c>
      <c r="AA5" s="181">
        <f>'Bázis modell AKM-ei'!EN26</f>
        <v>4578585.7430863408</v>
      </c>
      <c r="AB5" s="181">
        <f>'Bázis modell AKM-ei'!EO26</f>
        <v>6989349.3506826991</v>
      </c>
      <c r="AC5" s="205">
        <f>'Bázis modell AKM-ei'!EP26</f>
        <v>16670447.292961597</v>
      </c>
      <c r="AD5" s="180">
        <f t="shared" ref="AD5:AF7" si="3">U29*$AL5</f>
        <v>2751086.4959051469</v>
      </c>
      <c r="AE5" s="181">
        <f t="shared" si="3"/>
        <v>7439197.7291230271</v>
      </c>
      <c r="AF5" s="181">
        <f t="shared" si="3"/>
        <v>1423106.7063294116</v>
      </c>
      <c r="AG5" s="181">
        <f>SUM(AD5:AF5)</f>
        <v>11613390.931357585</v>
      </c>
      <c r="AH5" s="3">
        <f>(Y5/$AB5)*$AK5</f>
        <v>2006114.3142615808</v>
      </c>
      <c r="AI5" s="3">
        <f t="shared" ref="AI5:AJ5" si="4">(Z5/$AB5)*$AK5</f>
        <v>885824.22256888309</v>
      </c>
      <c r="AJ5" s="3">
        <f t="shared" si="4"/>
        <v>5492445.8428405616</v>
      </c>
      <c r="AK5" s="181">
        <f>AL5-AG5</f>
        <v>8384384.379671026</v>
      </c>
      <c r="AL5" s="181" cm="1">
        <f t="array" ref="AL5:AL7">TRANSPOSE(AD17:AF17)</f>
        <v>19997775.311028611</v>
      </c>
    </row>
    <row r="6" spans="2:38" x14ac:dyDescent="0.35">
      <c r="B6" s="183" t="s">
        <v>1</v>
      </c>
      <c r="C6" s="5">
        <f>'Bázis modell AKM-ei'!L27</f>
        <v>1609167.7899177175</v>
      </c>
      <c r="D6" s="3">
        <f>'Bázis modell AKM-ei'!M27</f>
        <v>7421730.1121832924</v>
      </c>
      <c r="E6" s="3">
        <f>'Bázis modell AKM-ei'!N27</f>
        <v>1890997.2824218238</v>
      </c>
      <c r="F6" s="3">
        <f>'Bázis modell AKM-ei'!O27</f>
        <v>10921895.184522834</v>
      </c>
      <c r="G6" s="3">
        <f>'Bázis modell AKM-ei'!P27</f>
        <v>6854965.3408725681</v>
      </c>
      <c r="H6" s="3">
        <f>'Bázis modell AKM-ei'!Q27</f>
        <v>4291287.5756717389</v>
      </c>
      <c r="I6" s="3">
        <f>'Bázis modell AKM-ei'!R27</f>
        <v>20554712.767805077</v>
      </c>
      <c r="J6" s="3">
        <f>'Bázis modell AKM-ei'!S27</f>
        <v>31700965.684349384</v>
      </c>
      <c r="K6" s="195">
        <f>'Bázis modell AKM-ei'!T27</f>
        <v>42622860.868872218</v>
      </c>
      <c r="L6" s="5">
        <f>'Bázis modell AKM-ei'!AV27</f>
        <v>1497414.8836877337</v>
      </c>
      <c r="M6" s="3">
        <f>'Bázis modell AKM-ei'!AW27</f>
        <v>7522474.5387994116</v>
      </c>
      <c r="N6" s="3">
        <f>'Bázis modell AKM-ei'!AX27</f>
        <v>1876778.4645819748</v>
      </c>
      <c r="O6" s="3">
        <f>'Bázis modell AKM-ei'!AY27</f>
        <v>10896667.887069121</v>
      </c>
      <c r="P6" s="3">
        <f>'Bázis modell AKM-ei'!AZ27</f>
        <v>6417780.9764482193</v>
      </c>
      <c r="Q6" s="3">
        <f>'Bázis modell AKM-ei'!BA27</f>
        <v>4622464.921072186</v>
      </c>
      <c r="R6" s="3">
        <f>'Bázis modell AKM-ei'!BB27</f>
        <v>24351043.08176779</v>
      </c>
      <c r="S6" s="3">
        <f>'Bázis modell AKM-ei'!BC27</f>
        <v>35391288.979288191</v>
      </c>
      <c r="T6" s="195">
        <f>'Bázis modell AKM-ei'!BD27</f>
        <v>46287956.866357312</v>
      </c>
      <c r="U6" s="5">
        <f>'Bázis modell AKM-ei'!EH27</f>
        <v>2197020.0357611934</v>
      </c>
      <c r="V6" s="3">
        <f>'Bázis modell AKM-ei'!EI27</f>
        <v>11475067.292523144</v>
      </c>
      <c r="W6" s="3">
        <f>'Bázis modell AKM-ei'!EJ27</f>
        <v>2637051.6669315724</v>
      </c>
      <c r="X6" s="3">
        <f>'Bázis modell AKM-ei'!EK27</f>
        <v>16309138.995215911</v>
      </c>
      <c r="Y6" s="3">
        <f>'Bázis modell AKM-ei'!EL27</f>
        <v>8893820.7412901763</v>
      </c>
      <c r="Z6" s="3">
        <f>'Bázis modell AKM-ei'!EM27</f>
        <v>8427679.7496135458</v>
      </c>
      <c r="AA6" s="3">
        <f>'Bázis modell AKM-ei'!EN27</f>
        <v>37282076.097295895</v>
      </c>
      <c r="AB6" s="3">
        <f>'Bázis modell AKM-ei'!EO27</f>
        <v>54603576.588199615</v>
      </c>
      <c r="AC6" s="195">
        <f>'Bázis modell AKM-ei'!EP27</f>
        <v>70912715.583415523</v>
      </c>
      <c r="AD6" s="5">
        <f t="shared" si="3"/>
        <v>2073086.3329623435</v>
      </c>
      <c r="AE6" s="6">
        <f t="shared" si="3"/>
        <v>10827759.777671264</v>
      </c>
      <c r="AF6" s="6">
        <f t="shared" si="3"/>
        <v>2488295.8193584858</v>
      </c>
      <c r="AG6" s="3">
        <f>SUM(AD6:AF6)</f>
        <v>15389141.929992095</v>
      </c>
      <c r="AH6" s="3">
        <f t="shared" ref="AH6:AH7" si="5">(Y6/$AB6)*$AK6</f>
        <v>8392121.1124493238</v>
      </c>
      <c r="AI6" s="3">
        <f t="shared" ref="AI6:AI7" si="6">(Z6/$AB6)*$AK6</f>
        <v>7952275.09222697</v>
      </c>
      <c r="AJ6" s="3">
        <f t="shared" ref="AJ6:AJ7" si="7">(AA6/$AB6)*$AK6</f>
        <v>35178997.534716681</v>
      </c>
      <c r="AK6" s="3">
        <f>AL6-AG6</f>
        <v>51523393.739392973</v>
      </c>
      <c r="AL6" s="3">
        <v>66912535.669385068</v>
      </c>
    </row>
    <row r="7" spans="2:38" x14ac:dyDescent="0.35">
      <c r="B7" s="183" t="s">
        <v>2</v>
      </c>
      <c r="C7" s="5">
        <f>'Bázis modell AKM-ei'!L28</f>
        <v>189403.03227638002</v>
      </c>
      <c r="D7" s="3">
        <f>'Bázis modell AKM-ei'!M28</f>
        <v>540873.34413387789</v>
      </c>
      <c r="E7" s="3">
        <f>'Bázis modell AKM-ei'!N28</f>
        <v>472367.80800744018</v>
      </c>
      <c r="F7" s="3">
        <f>'Bázis modell AKM-ei'!O28</f>
        <v>1202644.1844176981</v>
      </c>
      <c r="G7" s="3">
        <f>'Bázis modell AKM-ei'!P28</f>
        <v>9504845.4101691525</v>
      </c>
      <c r="H7" s="3">
        <f>'Bázis modell AKM-ei'!Q28</f>
        <v>72577.183682876159</v>
      </c>
      <c r="I7" s="3">
        <f>'Bázis modell AKM-ei'!R28</f>
        <v>244377.43611359224</v>
      </c>
      <c r="J7" s="3">
        <f>'Bázis modell AKM-ei'!S28</f>
        <v>9821800.0299656205</v>
      </c>
      <c r="K7" s="195">
        <f>'Bázis modell AKM-ei'!T28</f>
        <v>11024444.214383319</v>
      </c>
      <c r="L7" s="5">
        <f>'Bázis modell AKM-ei'!AV28</f>
        <v>207601.25458751628</v>
      </c>
      <c r="M7" s="3">
        <f>'Bázis modell AKM-ei'!AW28</f>
        <v>547173.04467351921</v>
      </c>
      <c r="N7" s="3">
        <f>'Bázis modell AKM-ei'!AX28</f>
        <v>496603.57584231679</v>
      </c>
      <c r="O7" s="3">
        <f>'Bázis modell AKM-ei'!AY28</f>
        <v>1251377.8751033524</v>
      </c>
      <c r="P7" s="3">
        <f>'Bázis modell AKM-ei'!AZ28</f>
        <v>10479248.534205187</v>
      </c>
      <c r="Q7" s="3">
        <f>'Bázis modell AKM-ei'!BA28</f>
        <v>93792.747483034662</v>
      </c>
      <c r="R7" s="3">
        <f>'Bázis modell AKM-ei'!BB28</f>
        <v>303709.57088231953</v>
      </c>
      <c r="S7" s="3">
        <f>'Bázis modell AKM-ei'!BC28</f>
        <v>10876750.852570543</v>
      </c>
      <c r="T7" s="195">
        <f>'Bázis modell AKM-ei'!BD28</f>
        <v>12128128.727673896</v>
      </c>
      <c r="U7" s="5">
        <f>'Bázis modell AKM-ei'!EH28</f>
        <v>309608.46300249355</v>
      </c>
      <c r="V7" s="3">
        <f>'Bázis modell AKM-ei'!EI28</f>
        <v>874691.90998375486</v>
      </c>
      <c r="W7" s="3">
        <f>'Bázis modell AKM-ei'!EJ28</f>
        <v>641217.57676631247</v>
      </c>
      <c r="X7" s="3">
        <f>'Bázis modell AKM-ei'!EK28</f>
        <v>1825517.9497525608</v>
      </c>
      <c r="Y7" s="3">
        <f>'Bázis modell AKM-ei'!EL28</f>
        <v>14571643.80553958</v>
      </c>
      <c r="Z7" s="3">
        <f>'Bázis modell AKM-ei'!EM28</f>
        <v>163784.76400953191</v>
      </c>
      <c r="AA7" s="3">
        <f>'Bázis modell AKM-ei'!EN28</f>
        <v>491670.14685178589</v>
      </c>
      <c r="AB7" s="3">
        <f>'Bázis modell AKM-ei'!EO28</f>
        <v>15227098.716400897</v>
      </c>
      <c r="AC7" s="195">
        <f>'Bázis modell AKM-ei'!EP28</f>
        <v>17052616.666153457</v>
      </c>
      <c r="AD7" s="5">
        <f t="shared" si="3"/>
        <v>311269.1440703515</v>
      </c>
      <c r="AE7" s="6">
        <f t="shared" si="3"/>
        <v>879383.59147408546</v>
      </c>
      <c r="AF7" s="6">
        <f t="shared" si="3"/>
        <v>644656.94621954672</v>
      </c>
      <c r="AG7" s="3">
        <f>SUM(AD7:AF7)</f>
        <v>1835309.6817639838</v>
      </c>
      <c r="AH7" s="3">
        <f t="shared" si="5"/>
        <v>14649803.338908775</v>
      </c>
      <c r="AI7" s="3">
        <f t="shared" si="6"/>
        <v>164663.27441637442</v>
      </c>
      <c r="AJ7" s="3">
        <f t="shared" si="7"/>
        <v>494307.37225767254</v>
      </c>
      <c r="AK7" s="3">
        <f>AL7-AG7</f>
        <v>15308773.985582821</v>
      </c>
      <c r="AL7" s="3">
        <v>17144083.667346805</v>
      </c>
    </row>
    <row r="8" spans="2:38" x14ac:dyDescent="0.35">
      <c r="B8" s="183" t="s">
        <v>79</v>
      </c>
      <c r="C8" s="5">
        <f>'Bázis modell AKM-ei'!L29</f>
        <v>3493520.5769926147</v>
      </c>
      <c r="D8" s="3">
        <f>'Bázis modell AKM-ei'!M29</f>
        <v>11969250.313905323</v>
      </c>
      <c r="E8" s="3">
        <f>'Bázis modell AKM-ei'!N29</f>
        <v>3216303.5854651472</v>
      </c>
      <c r="F8" s="3">
        <f>'Bázis modell AKM-ei'!O29</f>
        <v>18679074.476363085</v>
      </c>
      <c r="G8" s="3">
        <f>'Bázis modell AKM-ei'!P29</f>
        <v>17627955.138794702</v>
      </c>
      <c r="H8" s="3">
        <f>'Bázis modell AKM-ei'!Q29</f>
        <v>4568148.3964207256</v>
      </c>
      <c r="I8" s="3">
        <f>'Bázis modell AKM-ei'!R29</f>
        <v>23222377.569509525</v>
      </c>
      <c r="J8" s="3">
        <f>'Bázis modell AKM-ei'!S29</f>
        <v>45418481.104724951</v>
      </c>
      <c r="K8" s="195">
        <f>'Bázis modell AKM-ei'!T29</f>
        <v>64097555.581088036</v>
      </c>
      <c r="L8" s="5">
        <f>'Bázis modell AKM-ei'!AV29</f>
        <v>3293024.5804185532</v>
      </c>
      <c r="M8" s="3">
        <f>'Bázis modell AKM-ei'!AW29</f>
        <v>12008257.291608388</v>
      </c>
      <c r="N8" s="3">
        <f>'Bázis modell AKM-ei'!AX29</f>
        <v>3193946.6070319121</v>
      </c>
      <c r="O8" s="3">
        <f>'Bázis modell AKM-ei'!AY29</f>
        <v>18495228.479058854</v>
      </c>
      <c r="P8" s="3">
        <f>'Bázis modell AKM-ei'!AZ29</f>
        <v>18168046.535797503</v>
      </c>
      <c r="Q8" s="3">
        <f>'Bázis modell AKM-ei'!BA29</f>
        <v>5256686.3577642078</v>
      </c>
      <c r="R8" s="3">
        <f>'Bázis modell AKM-ei'!BB29</f>
        <v>27664357.691289842</v>
      </c>
      <c r="S8" s="3">
        <f>'Bázis modell AKM-ei'!BC29</f>
        <v>51089090.584851548</v>
      </c>
      <c r="T8" s="195">
        <f>'Bázis modell AKM-ei'!BD29</f>
        <v>69584319.063910395</v>
      </c>
      <c r="U8" s="5">
        <f>'Bázis modell AKM-ei'!EH29</f>
        <v>4799975.7193954103</v>
      </c>
      <c r="V8" s="3">
        <f>'Bázis modell AKM-ei'!EI29</f>
        <v>18551186.697137859</v>
      </c>
      <c r="W8" s="3">
        <f>'Bázis modell AKM-ei'!EJ29</f>
        <v>4464592.4707140988</v>
      </c>
      <c r="X8" s="3">
        <f>'Bázis modell AKM-ei'!EK29</f>
        <v>27815754.887247369</v>
      </c>
      <c r="Y8" s="3">
        <f>'Bázis modell AKM-ei'!EL29</f>
        <v>25137791.714197718</v>
      </c>
      <c r="Z8" s="3">
        <f>'Bázis modell AKM-ei'!EM29</f>
        <v>9329900.9538514726</v>
      </c>
      <c r="AA8" s="3">
        <f>'Bázis modell AKM-ei'!EN29</f>
        <v>42352331.987234019</v>
      </c>
      <c r="AB8" s="3">
        <f>'Bázis modell AKM-ei'!EO29</f>
        <v>76820024.655283213</v>
      </c>
      <c r="AC8" s="195">
        <f>'Bázis modell AKM-ei'!EP29</f>
        <v>104635779.54253058</v>
      </c>
      <c r="AD8" s="5">
        <f t="shared" ref="AD8:AL8" si="8">SUM(AD5:AD7)</f>
        <v>5135441.9729378419</v>
      </c>
      <c r="AE8" s="6">
        <f t="shared" si="8"/>
        <v>19146341.098268379</v>
      </c>
      <c r="AF8" s="6">
        <f t="shared" si="8"/>
        <v>4556059.4719074443</v>
      </c>
      <c r="AG8" s="3">
        <f t="shared" si="8"/>
        <v>28837842.543113664</v>
      </c>
      <c r="AH8" s="3">
        <f t="shared" si="8"/>
        <v>25048038.76561968</v>
      </c>
      <c r="AI8" s="3">
        <f t="shared" si="8"/>
        <v>9002762.5892122276</v>
      </c>
      <c r="AJ8" s="3">
        <f t="shared" si="8"/>
        <v>41165750.749814913</v>
      </c>
      <c r="AK8" s="3">
        <f t="shared" si="8"/>
        <v>75216552.104646832</v>
      </c>
      <c r="AL8" s="3">
        <f t="shared" si="8"/>
        <v>104054394.64776048</v>
      </c>
    </row>
    <row r="9" spans="2:38" x14ac:dyDescent="0.35">
      <c r="B9" s="183" t="s">
        <v>80</v>
      </c>
      <c r="C9" s="5">
        <f>'Bázis modell AKM-ei'!L30</f>
        <v>1427676.1837875915</v>
      </c>
      <c r="D9" s="3">
        <f>'Bázis modell AKM-ei'!M30</f>
        <v>15439775.450909821</v>
      </c>
      <c r="E9" s="3">
        <f>'Bázis modell AKM-ei'!N30</f>
        <v>741472.7708850879</v>
      </c>
      <c r="F9" s="3">
        <f>'Bázis modell AKM-ei'!O30</f>
        <v>17608924.405582499</v>
      </c>
      <c r="G9" s="3">
        <f>'Bázis modell AKM-ei'!P30</f>
        <v>2401057.4957582895</v>
      </c>
      <c r="H9" s="3">
        <f>'Bázis modell AKM-ei'!Q30</f>
        <v>2183349.5020262185</v>
      </c>
      <c r="I9" s="3">
        <f>'Bázis modell AKM-ei'!R30</f>
        <v>2064092.5443449034</v>
      </c>
      <c r="J9" s="3">
        <f>'Bázis modell AKM-ei'!S30</f>
        <v>6648499.5421294123</v>
      </c>
      <c r="K9" s="195">
        <f>'Bázis modell AKM-ei'!T30</f>
        <v>24257423.947711911</v>
      </c>
      <c r="L9" s="5">
        <f>'Bázis modell AKM-ei'!AV30</f>
        <v>1838989.8187564497</v>
      </c>
      <c r="M9" s="3">
        <f>'Bázis modell AKM-ei'!AW30</f>
        <v>17420472.120090529</v>
      </c>
      <c r="N9" s="3">
        <f>'Bázis modell AKM-ei'!AX30</f>
        <v>1104268.3593680507</v>
      </c>
      <c r="O9" s="3">
        <f>'Bázis modell AKM-ei'!AY30</f>
        <v>20363730.298215032</v>
      </c>
      <c r="P9" s="3">
        <f>'Bázis modell AKM-ei'!AZ30</f>
        <v>2641632.2129087429</v>
      </c>
      <c r="Q9" s="3">
        <f>'Bázis modell AKM-ei'!BA30</f>
        <v>2308744.0917288829</v>
      </c>
      <c r="R9" s="3">
        <f>'Bázis modell AKM-ei'!BB30</f>
        <v>2626230.8557279753</v>
      </c>
      <c r="S9" s="3">
        <f>'Bázis modell AKM-ei'!BC30</f>
        <v>7576607.1603656011</v>
      </c>
      <c r="T9" s="195">
        <f>'Bázis modell AKM-ei'!BD30</f>
        <v>27940337.458580632</v>
      </c>
      <c r="U9" s="5">
        <f>'Bázis modell AKM-ei'!EH30</f>
        <v>2604803.7707119766</v>
      </c>
      <c r="V9" s="3">
        <f>'Bázis modell AKM-ei'!EI30</f>
        <v>25993831.214603797</v>
      </c>
      <c r="W9" s="3">
        <f>'Bázis modell AKM-ei'!EJ30</f>
        <v>1485257.7966077433</v>
      </c>
      <c r="X9" s="3">
        <f>'Bázis modell AKM-ei'!EK30</f>
        <v>30083892.781923518</v>
      </c>
      <c r="Y9" s="3">
        <f>'Bázis modell AKM-ei'!EL30</f>
        <v>3478233.2249469822</v>
      </c>
      <c r="Z9" s="3">
        <f>'Bázis modell AKM-ei'!EM30</f>
        <v>3875967.9995854474</v>
      </c>
      <c r="AA9" s="3">
        <f>'Bázis modell AKM-ei'!EN30</f>
        <v>4188586.4664938343</v>
      </c>
      <c r="AB9" s="3">
        <f>'Bázis modell AKM-ei'!EO30</f>
        <v>11542787.691026263</v>
      </c>
      <c r="AC9" s="195">
        <f>'Bázis modell AKM-ei'!EP30</f>
        <v>41626680.472949781</v>
      </c>
      <c r="AD9" s="5">
        <f>AD34</f>
        <v>3261324.6812238195</v>
      </c>
      <c r="AE9" s="6">
        <f>AE34</f>
        <v>23712569.626111962</v>
      </c>
      <c r="AF9" s="6">
        <f>AF34</f>
        <v>1485257.7966077433</v>
      </c>
      <c r="AG9" s="3">
        <f>SUM(AD9:AF9)</f>
        <v>28459152.103943527</v>
      </c>
      <c r="AH9" s="3">
        <f>(Y9/Y$8)*AH$8</f>
        <v>3465814.4058506028</v>
      </c>
      <c r="AI9" s="3">
        <f t="shared" ref="AI9:AJ10" si="9">(Z9/Z$8)*AI$8</f>
        <v>3740063.2521449081</v>
      </c>
      <c r="AJ9" s="3">
        <f t="shared" si="9"/>
        <v>4071235.2397904904</v>
      </c>
      <c r="AK9" s="3">
        <f>SUM(AH9:AJ9)</f>
        <v>11277112.897786001</v>
      </c>
      <c r="AL9" s="3">
        <f>AG9+AK9</f>
        <v>39736265.001729526</v>
      </c>
    </row>
    <row r="10" spans="2:38" x14ac:dyDescent="0.35">
      <c r="B10" s="183" t="s">
        <v>81</v>
      </c>
      <c r="C10" s="5">
        <f>'Bázis modell AKM-ei'!L31</f>
        <v>225114.97721156527</v>
      </c>
      <c r="D10" s="3">
        <f>'Bázis modell AKM-ei'!M31</f>
        <v>545369.68115020753</v>
      </c>
      <c r="E10" s="3">
        <f>'Bázis modell AKM-ei'!N31</f>
        <v>411850.30313261528</v>
      </c>
      <c r="F10" s="3">
        <f>'Bázis modell AKM-ei'!O31</f>
        <v>1182334.9614943881</v>
      </c>
      <c r="G10" s="3">
        <f>'Bázis modell AKM-ei'!P31</f>
        <v>2842846.8403458796</v>
      </c>
      <c r="H10" s="3">
        <f>'Bázis modell AKM-ei'!Q31</f>
        <v>461780.53894975019</v>
      </c>
      <c r="I10" s="3">
        <f>'Bázis modell AKM-ei'!R31</f>
        <v>222761.62131372641</v>
      </c>
      <c r="J10" s="3">
        <f>'Bázis modell AKM-ei'!S31</f>
        <v>3527389.0006093564</v>
      </c>
      <c r="K10" s="195">
        <f>'Bázis modell AKM-ei'!T31</f>
        <v>4709723.962103745</v>
      </c>
      <c r="L10" s="5">
        <f>'Bázis modell AKM-ei'!AV31</f>
        <v>268868.49011685466</v>
      </c>
      <c r="M10" s="3">
        <f>'Bázis modell AKM-ei'!AW31</f>
        <v>538750.62958721374</v>
      </c>
      <c r="N10" s="3">
        <f>'Bázis modell AKM-ei'!AX31</f>
        <v>519402.67682907492</v>
      </c>
      <c r="O10" s="3">
        <f>'Bázis modell AKM-ei'!AY31</f>
        <v>1327021.7965331434</v>
      </c>
      <c r="P10" s="3">
        <f>'Bázis modell AKM-ei'!AZ31</f>
        <v>3240834.2512937556</v>
      </c>
      <c r="Q10" s="3">
        <f>'Bázis modell AKM-ei'!BA31</f>
        <v>542895.55050690915</v>
      </c>
      <c r="R10" s="3">
        <f>'Bázis modell AKM-ei'!BB31</f>
        <v>313221.45298218378</v>
      </c>
      <c r="S10" s="3">
        <f>'Bázis modell AKM-ei'!BC31</f>
        <v>4096951.2547828481</v>
      </c>
      <c r="T10" s="195">
        <f>'Bázis modell AKM-ei'!BD31</f>
        <v>5423973.0513159912</v>
      </c>
      <c r="U10" s="5">
        <f>'Bázis modell AKM-ei'!EH31</f>
        <v>374348.7258971241</v>
      </c>
      <c r="V10" s="3">
        <f>'Bázis modell AKM-ei'!EI31</f>
        <v>832751.09003732982</v>
      </c>
      <c r="W10" s="3">
        <f>'Bázis modell AKM-ei'!EJ31</f>
        <v>709249.76373136032</v>
      </c>
      <c r="X10" s="3">
        <f>'Bázis modell AKM-ei'!EK31</f>
        <v>1916349.5796658141</v>
      </c>
      <c r="Y10" s="3">
        <f>'Bázis modell AKM-ei'!EL31</f>
        <v>4201726.8974095844</v>
      </c>
      <c r="Z10" s="3">
        <f>'Bázis modell AKM-ei'!EM31</f>
        <v>907469.92217104812</v>
      </c>
      <c r="AA10" s="3">
        <f>'Bázis modell AKM-ei'!EN31</f>
        <v>490576.84019838227</v>
      </c>
      <c r="AB10" s="3">
        <f>'Bázis modell AKM-ei'!EO31</f>
        <v>5599773.6597790141</v>
      </c>
      <c r="AC10" s="195">
        <f>'Bázis modell AKM-ei'!EP31</f>
        <v>7516123.2394448277</v>
      </c>
      <c r="AD10" s="5">
        <f>AD37</f>
        <v>468700.46522517025</v>
      </c>
      <c r="AE10" s="6">
        <f>AE37</f>
        <v>759667.47805289982</v>
      </c>
      <c r="AF10" s="6">
        <f>AF37</f>
        <v>709249.76373136032</v>
      </c>
      <c r="AG10" s="3">
        <f>SUM(AD10:AF10)</f>
        <v>1937617.7070094305</v>
      </c>
      <c r="AH10" s="3">
        <f>(Y10/Y$8)*AH$8</f>
        <v>4186724.8883846961</v>
      </c>
      <c r="AI10" s="3">
        <f t="shared" si="9"/>
        <v>875650.91061168211</v>
      </c>
      <c r="AJ10" s="3">
        <f t="shared" si="9"/>
        <v>476832.39575392497</v>
      </c>
      <c r="AK10" s="3">
        <f>SUM(AH10:AJ10)</f>
        <v>5539208.1947503025</v>
      </c>
      <c r="AL10" s="3">
        <f t="shared" ref="AL10:AL11" si="10">AG10+AK10</f>
        <v>7476825.9017597325</v>
      </c>
    </row>
    <row r="11" spans="2:38" x14ac:dyDescent="0.35">
      <c r="B11" s="183" t="s">
        <v>67</v>
      </c>
      <c r="C11" s="5">
        <f>'Bázis modell AKM-ei'!L32</f>
        <v>5146311.7379917717</v>
      </c>
      <c r="D11" s="3">
        <f>'Bázis modell AKM-ei'!M32</f>
        <v>27954395.445965353</v>
      </c>
      <c r="E11" s="3">
        <f>'Bázis modell AKM-ei'!N32</f>
        <v>4369626.6594828507</v>
      </c>
      <c r="F11" s="3">
        <f>'Bázis modell AKM-ei'!O32</f>
        <v>37470333.843439974</v>
      </c>
      <c r="G11" s="3">
        <f>'Bázis modell AKM-ei'!P32</f>
        <v>22871859.474898871</v>
      </c>
      <c r="H11" s="3">
        <f>'Bázis modell AKM-ei'!Q32</f>
        <v>7213278.437396694</v>
      </c>
      <c r="I11" s="3">
        <f>'Bázis modell AKM-ei'!R32</f>
        <v>25509231.735168155</v>
      </c>
      <c r="J11" s="3">
        <f>'Bázis modell AKM-ei'!S32</f>
        <v>55594369.647463724</v>
      </c>
      <c r="K11" s="195">
        <f>'Bázis modell AKM-ei'!T32</f>
        <v>93064703.490903705</v>
      </c>
      <c r="L11" s="5">
        <f>'Bázis modell AKM-ei'!AV32</f>
        <v>5400882.8892918583</v>
      </c>
      <c r="M11" s="3">
        <f>'Bázis modell AKM-ei'!AW32</f>
        <v>29967480.04128613</v>
      </c>
      <c r="N11" s="3">
        <f>'Bázis modell AKM-ei'!AX32</f>
        <v>4817617.6432290375</v>
      </c>
      <c r="O11" s="3">
        <f>'Bázis modell AKM-ei'!AY32</f>
        <v>40185980.573807023</v>
      </c>
      <c r="P11" s="3">
        <f>'Bázis modell AKM-ei'!AZ32</f>
        <v>24050513</v>
      </c>
      <c r="Q11" s="3">
        <f>'Bázis modell AKM-ei'!BA32</f>
        <v>8108326</v>
      </c>
      <c r="R11" s="3">
        <f>'Bázis modell AKM-ei'!BB32</f>
        <v>30603810</v>
      </c>
      <c r="S11" s="3">
        <f>'Bázis modell AKM-ei'!BC32</f>
        <v>62762649</v>
      </c>
      <c r="T11" s="195">
        <f>'Bázis modell AKM-ei'!BD32</f>
        <v>102948629.57380703</v>
      </c>
      <c r="U11" s="5">
        <f>'Bázis modell AKM-ei'!EH32</f>
        <v>7779128.2160045113</v>
      </c>
      <c r="V11" s="3">
        <f>'Bázis modell AKM-ei'!EI32</f>
        <v>45377769.00177899</v>
      </c>
      <c r="W11" s="3">
        <f>'Bázis modell AKM-ei'!EJ32</f>
        <v>6659100.0310532022</v>
      </c>
      <c r="X11" s="3">
        <f>'Bázis modell AKM-ei'!EK32</f>
        <v>59815997.248836704</v>
      </c>
      <c r="Y11" s="3">
        <f>'Bázis modell AKM-ei'!EL32</f>
        <v>32817751.836554289</v>
      </c>
      <c r="Z11" s="3">
        <f>'Bázis modell AKM-ei'!EM32</f>
        <v>14113338.875607967</v>
      </c>
      <c r="AA11" s="3">
        <f>'Bázis modell AKM-ei'!EN32</f>
        <v>47031495.293926239</v>
      </c>
      <c r="AB11" s="3">
        <f>'Bázis modell AKM-ei'!EO32</f>
        <v>93962586.006088495</v>
      </c>
      <c r="AC11" s="195">
        <f>'Bázis modell AKM-ei'!EP32</f>
        <v>153778583.25492519</v>
      </c>
      <c r="AD11" s="5">
        <f t="shared" ref="AD11:AK11" si="11">SUM(AD8:AD10)</f>
        <v>8865467.1193868313</v>
      </c>
      <c r="AE11" s="6">
        <f t="shared" si="11"/>
        <v>43618578.202433243</v>
      </c>
      <c r="AF11" s="6">
        <f t="shared" si="11"/>
        <v>6750567.0322465478</v>
      </c>
      <c r="AG11" s="3">
        <f t="shared" si="11"/>
        <v>59234612.354066618</v>
      </c>
      <c r="AH11" s="3">
        <f t="shared" si="11"/>
        <v>32700578.059854981</v>
      </c>
      <c r="AI11" s="3">
        <f t="shared" si="11"/>
        <v>13618476.751968818</v>
      </c>
      <c r="AJ11" s="3">
        <f t="shared" si="11"/>
        <v>45713818.385359332</v>
      </c>
      <c r="AK11" s="3">
        <f t="shared" si="11"/>
        <v>92032873.197183147</v>
      </c>
      <c r="AL11" s="3">
        <f t="shared" si="10"/>
        <v>151267485.55124977</v>
      </c>
    </row>
    <row r="12" spans="2:38" x14ac:dyDescent="0.35">
      <c r="B12" s="183" t="s">
        <v>23</v>
      </c>
      <c r="C12" s="5">
        <f>'Bázis modell AKM-ei'!L33</f>
        <v>2721940.1269588708</v>
      </c>
      <c r="D12" s="3">
        <f>'Bázis modell AKM-ei'!M33</f>
        <v>6276472.3694509696</v>
      </c>
      <c r="E12" s="3">
        <f>'Bázis modell AKM-ei'!N33</f>
        <v>4752827.6301827068</v>
      </c>
      <c r="F12" s="3">
        <f>'Bázis modell AKM-ei'!O33</f>
        <v>13751240.126592547</v>
      </c>
      <c r="K12" s="47"/>
      <c r="L12" s="5">
        <f>'Bázis modell AKM-ei'!AV33</f>
        <v>2751141.506759956</v>
      </c>
      <c r="M12" s="3">
        <f>'Bázis modell AKM-ei'!AW33</f>
        <v>6687143.1556444662</v>
      </c>
      <c r="N12" s="3">
        <f>'Bázis modell AKM-ei'!AX33</f>
        <v>5155303.7608018816</v>
      </c>
      <c r="O12" s="3">
        <f>'Bázis modell AKM-ei'!AY33</f>
        <v>14593588.423206303</v>
      </c>
      <c r="T12" s="47"/>
      <c r="U12" s="5">
        <f>'Bázis modell AKM-ei'!EH33</f>
        <v>3660251.3970838296</v>
      </c>
      <c r="V12" s="3">
        <f>'Bázis modell AKM-ei'!EI33</f>
        <v>9209132.9655145034</v>
      </c>
      <c r="W12" s="3">
        <f>'Bázis modell AKM-ei'!EJ33</f>
        <v>6172956.6303657433</v>
      </c>
      <c r="X12" s="3">
        <f>'Bázis modell AKM-ei'!EK33</f>
        <v>19042340.992964078</v>
      </c>
      <c r="AC12" s="47"/>
      <c r="AD12" s="5">
        <f>(U12/U$16)*AD$16</f>
        <v>4582789.8266327456</v>
      </c>
      <c r="AE12" s="6">
        <f t="shared" ref="AE12:AF15" si="12">(V12/V$16)*AE$16</f>
        <v>8400924.2361395415</v>
      </c>
      <c r="AF12" s="6">
        <f t="shared" si="12"/>
        <v>6172956.6303657433</v>
      </c>
      <c r="AG12" s="3">
        <f t="shared" ref="AG12:AG17" si="13">SUM(AD12:AF12)</f>
        <v>19156670.693138029</v>
      </c>
    </row>
    <row r="13" spans="2:38" x14ac:dyDescent="0.35">
      <c r="B13" s="183" t="s">
        <v>68</v>
      </c>
      <c r="C13" s="5">
        <f>'Bázis modell AKM-ei'!L34</f>
        <v>-194953.82847399425</v>
      </c>
      <c r="D13" s="3">
        <f>'Bázis modell AKM-ei'!M34</f>
        <v>155320.09181526583</v>
      </c>
      <c r="E13" s="3">
        <f>'Bázis modell AKM-ei'!N34</f>
        <v>36660.544874449224</v>
      </c>
      <c r="F13" s="3">
        <f>'Bázis modell AKM-ei'!O34</f>
        <v>-2973.1917842791954</v>
      </c>
      <c r="K13" s="47"/>
      <c r="L13" s="5">
        <f>'Bázis modell AKM-ei'!AV34</f>
        <v>-267105.18573546939</v>
      </c>
      <c r="M13" s="3">
        <f>'Bázis modell AKM-ei'!AW34</f>
        <v>199131.7012974114</v>
      </c>
      <c r="N13" s="3">
        <f>'Bázis modell AKM-ei'!AX34</f>
        <v>-4318.8580390428206</v>
      </c>
      <c r="O13" s="3">
        <f>'Bázis modell AKM-ei'!AY34</f>
        <v>-72292.342477100814</v>
      </c>
      <c r="T13" s="47"/>
      <c r="U13" s="5">
        <f>'Bázis modell AKM-ei'!EH34</f>
        <v>232319.08872345084</v>
      </c>
      <c r="V13" s="3">
        <f>'Bázis modell AKM-ei'!EI34</f>
        <v>1788778.3195554514</v>
      </c>
      <c r="W13" s="3">
        <f>'Bázis modell AKM-ei'!EJ34</f>
        <v>961889.70263158227</v>
      </c>
      <c r="X13" s="3">
        <f>'Bázis modell AKM-ei'!EK34</f>
        <v>2982987.1109104846</v>
      </c>
      <c r="AC13" s="47"/>
      <c r="AD13" s="5">
        <f t="shared" ref="AD13:AD15" si="14">(U13/U$16)*AD$16</f>
        <v>290873.34197390289</v>
      </c>
      <c r="AE13" s="6">
        <f t="shared" si="12"/>
        <v>1631792.1778420962</v>
      </c>
      <c r="AF13" s="6">
        <f t="shared" si="12"/>
        <v>961889.70263158227</v>
      </c>
      <c r="AG13" s="3">
        <f t="shared" si="13"/>
        <v>2884555.2224475816</v>
      </c>
    </row>
    <row r="14" spans="2:38" x14ac:dyDescent="0.35">
      <c r="B14" s="183" t="s">
        <v>69</v>
      </c>
      <c r="C14" s="5">
        <f>'Bázis modell AKM-ei'!L35</f>
        <v>936332.40919441439</v>
      </c>
      <c r="D14" s="3">
        <f>'Bázis modell AKM-ei'!M35</f>
        <v>3487331.6965584722</v>
      </c>
      <c r="E14" s="3">
        <f>'Bázis modell AKM-ei'!N35</f>
        <v>1248134.7518493284</v>
      </c>
      <c r="F14" s="3">
        <f>'Bázis modell AKM-ei'!O35</f>
        <v>5671798.8576022144</v>
      </c>
      <c r="K14" s="47"/>
      <c r="L14" s="5">
        <f>'Bázis modell AKM-ei'!AV35</f>
        <v>841723.77242162102</v>
      </c>
      <c r="M14" s="3">
        <f>'Bázis modell AKM-ei'!AW35</f>
        <v>3718276.4392337687</v>
      </c>
      <c r="N14" s="3">
        <f>'Bázis modell AKM-ei'!AX35</f>
        <v>1245034.9544142704</v>
      </c>
      <c r="O14" s="3">
        <f>'Bázis modell AKM-ei'!AY35</f>
        <v>5805035.1660696603</v>
      </c>
      <c r="T14" s="47"/>
      <c r="U14" s="5">
        <f>'Bázis modell AKM-ei'!EH35</f>
        <v>1357159.0460899069</v>
      </c>
      <c r="V14" s="3">
        <f>'Bázis modell AKM-ei'!EI35</f>
        <v>6070729.5609065974</v>
      </c>
      <c r="W14" s="3">
        <f>'Bázis modell AKM-ei'!EJ35</f>
        <v>1816203.5022849592</v>
      </c>
      <c r="X14" s="3">
        <f>'Bázis modell AKM-ei'!EK35</f>
        <v>9244092.1092814635</v>
      </c>
      <c r="AC14" s="47"/>
      <c r="AD14" s="5">
        <f t="shared" si="14"/>
        <v>1699220.6258014527</v>
      </c>
      <c r="AE14" s="6">
        <f t="shared" si="12"/>
        <v>5537952.301291341</v>
      </c>
      <c r="AF14" s="6">
        <f t="shared" si="12"/>
        <v>1816203.5022849592</v>
      </c>
      <c r="AG14" s="3">
        <f t="shared" si="13"/>
        <v>9053376.4293777533</v>
      </c>
    </row>
    <row r="15" spans="2:38" x14ac:dyDescent="0.35">
      <c r="B15" s="183" t="s">
        <v>70</v>
      </c>
      <c r="C15" s="5">
        <f>'Bázis modell AKM-ei'!L36</f>
        <v>1840620.0521614365</v>
      </c>
      <c r="D15" s="3">
        <f>'Bázis modell AKM-ei'!M36</f>
        <v>4749341.2650821591</v>
      </c>
      <c r="E15" s="3">
        <f>'Bázis modell AKM-ei'!N36</f>
        <v>617194.62799398438</v>
      </c>
      <c r="F15" s="3">
        <f>'Bázis modell AKM-ei'!O36</f>
        <v>7207155.9452375798</v>
      </c>
      <c r="K15" s="47"/>
      <c r="L15" s="5">
        <f>'Bázis modell AKM-ei'!AV36</f>
        <v>2441590.487141232</v>
      </c>
      <c r="M15" s="3">
        <f>'Bázis modell AKM-ei'!AW36</f>
        <v>5715925.5288955318</v>
      </c>
      <c r="N15" s="3">
        <f>'Bázis modell AKM-ei'!AX36</f>
        <v>914491.22726774844</v>
      </c>
      <c r="O15" s="3">
        <f>'Bázis modell AKM-ei'!AY36</f>
        <v>9072007.2433045115</v>
      </c>
      <c r="T15" s="47"/>
      <c r="U15" s="5">
        <f>'Bázis modell AKM-ei'!EH36</f>
        <v>3641589.5450598989</v>
      </c>
      <c r="V15" s="3">
        <f>'Bázis modell AKM-ei'!EI36</f>
        <v>8466305.7356599718</v>
      </c>
      <c r="W15" s="3">
        <f>'Bázis modell AKM-ei'!EJ36</f>
        <v>1442466.799817971</v>
      </c>
      <c r="X15" s="3">
        <f>'Bázis modell AKM-ei'!EK36</f>
        <v>13550362.080537841</v>
      </c>
      <c r="Z15" s="183" t="s">
        <v>1168</v>
      </c>
      <c r="AC15" s="47"/>
      <c r="AD15" s="5">
        <f t="shared" si="14"/>
        <v>4559424.397233679</v>
      </c>
      <c r="AE15" s="6">
        <f t="shared" si="12"/>
        <v>7723288.7516788524</v>
      </c>
      <c r="AF15" s="6">
        <f t="shared" si="12"/>
        <v>1442466.799817971</v>
      </c>
      <c r="AG15" s="3">
        <f t="shared" si="13"/>
        <v>13725179.948730502</v>
      </c>
    </row>
    <row r="16" spans="2:38" x14ac:dyDescent="0.35">
      <c r="B16" s="183" t="s">
        <v>71</v>
      </c>
      <c r="C16" s="5">
        <f>'Bázis modell AKM-ei'!L37</f>
        <v>5303938.7598407278</v>
      </c>
      <c r="D16" s="3">
        <f>'Bázis modell AKM-ei'!M37</f>
        <v>14668465.422906868</v>
      </c>
      <c r="E16" s="3">
        <f>'Bázis modell AKM-ei'!N37</f>
        <v>6654817.5549004683</v>
      </c>
      <c r="F16" s="3">
        <f>'Bázis modell AKM-ei'!O37</f>
        <v>26627221.737648062</v>
      </c>
      <c r="K16" s="47"/>
      <c r="L16" s="5">
        <f>'Bázis modell AKM-ei'!AV37</f>
        <v>5767350.5805873396</v>
      </c>
      <c r="M16" s="3">
        <f>'Bázis modell AKM-ei'!AW37</f>
        <v>16320476.825071178</v>
      </c>
      <c r="N16" s="3">
        <f>'Bázis modell AKM-ei'!AX37</f>
        <v>7310511.0844448572</v>
      </c>
      <c r="O16" s="3">
        <f>'Bázis modell AKM-ei'!AY37</f>
        <v>29398338.490103375</v>
      </c>
      <c r="T16" s="47"/>
      <c r="U16" s="5">
        <f>'Bázis modell AKM-ei'!EH37</f>
        <v>8891319.0769570861</v>
      </c>
      <c r="V16" s="3">
        <f>'Bázis modell AKM-ei'!EI37</f>
        <v>25534946.581636526</v>
      </c>
      <c r="W16" s="3">
        <f>'Bázis modell AKM-ei'!EJ37</f>
        <v>10393516.635100257</v>
      </c>
      <c r="X16" s="3">
        <f>'Bázis modell AKM-ei'!EK37</f>
        <v>44819782.29369387</v>
      </c>
      <c r="AA16" s="3">
        <f>X16+AC10</f>
        <v>52335905.5331387</v>
      </c>
      <c r="AC16" s="47"/>
      <c r="AD16" s="5">
        <f>AD40</f>
        <v>11132308.19164178</v>
      </c>
      <c r="AE16" s="6">
        <f>AE40</f>
        <v>23293957.466951832</v>
      </c>
      <c r="AF16" s="6">
        <f>AF40</f>
        <v>10393516.635100257</v>
      </c>
      <c r="AG16" s="3">
        <f t="shared" si="13"/>
        <v>44819782.29369387</v>
      </c>
    </row>
    <row r="17" spans="2:36" x14ac:dyDescent="0.35">
      <c r="B17" s="183" t="s">
        <v>72</v>
      </c>
      <c r="C17" s="5">
        <f>'Bázis modell AKM-ei'!L38</f>
        <v>10450250.497832499</v>
      </c>
      <c r="D17" s="3">
        <f>'Bázis modell AKM-ei'!M38</f>
        <v>42622860.868872218</v>
      </c>
      <c r="E17" s="3">
        <f>'Bázis modell AKM-ei'!N38</f>
        <v>11024444.214383319</v>
      </c>
      <c r="F17" s="3">
        <f>'Bázis modell AKM-ei'!O38</f>
        <v>64097555.581088036</v>
      </c>
      <c r="K17" s="47"/>
      <c r="L17" s="5">
        <f>'Bázis modell AKM-ei'!AV38</f>
        <v>11168233.469879197</v>
      </c>
      <c r="M17" s="3">
        <f>'Bázis modell AKM-ei'!AW38</f>
        <v>46287956.866357312</v>
      </c>
      <c r="N17" s="3">
        <f>'Bázis modell AKM-ei'!AX38</f>
        <v>12128128.727673896</v>
      </c>
      <c r="O17" s="3">
        <f>'Bázis modell AKM-ei'!AY38</f>
        <v>69584319.063910395</v>
      </c>
      <c r="T17" s="47"/>
      <c r="U17" s="5">
        <f>'Bázis modell AKM-ei'!EH38</f>
        <v>16670447.292961597</v>
      </c>
      <c r="V17" s="3">
        <f>'Bázis modell AKM-ei'!EI38</f>
        <v>70912715.583415523</v>
      </c>
      <c r="W17" s="3">
        <f>'Bázis modell AKM-ei'!EJ38</f>
        <v>17052616.666153457</v>
      </c>
      <c r="X17" s="3">
        <f>'Bázis modell AKM-ei'!EK38</f>
        <v>104635779.54253058</v>
      </c>
      <c r="AA17" s="3">
        <f>AB11-AC9</f>
        <v>52335905.533138715</v>
      </c>
      <c r="AC17" s="47"/>
      <c r="AD17" s="5" cm="1">
        <f t="array" ref="AD17:AF17">MMULT(AD44:AF44,U55:W57)</f>
        <v>19997775.311028611</v>
      </c>
      <c r="AE17" s="3">
        <v>66912535.669385068</v>
      </c>
      <c r="AF17" s="3">
        <v>17144083.667346805</v>
      </c>
      <c r="AG17" s="3">
        <f t="shared" si="13"/>
        <v>104054394.64776048</v>
      </c>
    </row>
    <row r="18" spans="2:36" x14ac:dyDescent="0.35">
      <c r="C18" s="10"/>
      <c r="K18" s="47"/>
      <c r="L18" s="10"/>
      <c r="T18" s="47"/>
      <c r="U18" s="10"/>
      <c r="AC18" s="47"/>
      <c r="AD18" s="10"/>
    </row>
    <row r="19" spans="2:36" x14ac:dyDescent="0.35">
      <c r="B19" s="183" t="s">
        <v>83</v>
      </c>
      <c r="C19" s="5">
        <f>SUM(C5:C7)-C8</f>
        <v>0</v>
      </c>
      <c r="D19" s="3">
        <f>SUM(D5:D7)-D8</f>
        <v>0</v>
      </c>
      <c r="E19" s="3">
        <f>SUM(E5:E7)-E8</f>
        <v>0</v>
      </c>
      <c r="F19" s="3">
        <f>SUM(F5:F7)-F8</f>
        <v>0</v>
      </c>
      <c r="K19" s="47"/>
      <c r="L19" s="5">
        <f>SUM(L5:L7)-L8</f>
        <v>0</v>
      </c>
      <c r="M19" s="3">
        <f>SUM(M5:M7)-M8</f>
        <v>0</v>
      </c>
      <c r="N19" s="3">
        <f>SUM(N5:N7)-N8</f>
        <v>0</v>
      </c>
      <c r="O19" s="3">
        <f>SUM(O5:O7)-O8</f>
        <v>0</v>
      </c>
      <c r="T19" s="47"/>
      <c r="U19" s="5">
        <f>SUM(U5:U7)-U8</f>
        <v>0</v>
      </c>
      <c r="V19" s="3">
        <f>SUM(V5:V7)-V8</f>
        <v>0</v>
      </c>
      <c r="W19" s="3">
        <f>SUM(W5:W7)-W8</f>
        <v>0</v>
      </c>
      <c r="X19" s="3">
        <f>SUM(X5:X7)-X8</f>
        <v>0</v>
      </c>
      <c r="AC19" s="47"/>
      <c r="AD19" s="5">
        <f>SUM(AD5:AD7)-AD8</f>
        <v>0</v>
      </c>
      <c r="AE19" s="3">
        <f>SUM(AE5:AE7)-AE8</f>
        <v>0</v>
      </c>
      <c r="AF19" s="3">
        <f>SUM(AF5:AF7)-AF8</f>
        <v>0</v>
      </c>
      <c r="AG19" s="3">
        <f>SUM(AG5:AG7)-AG8</f>
        <v>0</v>
      </c>
    </row>
    <row r="20" spans="2:36" x14ac:dyDescent="0.35">
      <c r="B20" s="183" t="s">
        <v>86</v>
      </c>
      <c r="C20" s="5">
        <f>C8+C9+C10-C11</f>
        <v>0</v>
      </c>
      <c r="D20" s="3">
        <f>D8+D9+D10-D11</f>
        <v>0</v>
      </c>
      <c r="E20" s="3">
        <f>E8+E9+E10-E11</f>
        <v>0</v>
      </c>
      <c r="F20" s="3">
        <f>F8+F9+F10-F11</f>
        <v>0</v>
      </c>
      <c r="K20" s="47"/>
      <c r="L20" s="5">
        <f>L8+L9+L10-L11</f>
        <v>0</v>
      </c>
      <c r="M20" s="3">
        <f>M8+M9+M10-M11</f>
        <v>0</v>
      </c>
      <c r="N20" s="3">
        <f>N8+N9+N10-N11</f>
        <v>0</v>
      </c>
      <c r="O20" s="3">
        <f>O8+O9+O10-O11</f>
        <v>0</v>
      </c>
      <c r="T20" s="47"/>
      <c r="U20" s="5">
        <f>U8+U9+U10-U11</f>
        <v>0</v>
      </c>
      <c r="V20" s="3">
        <f>V8+V9+V10-V11</f>
        <v>0</v>
      </c>
      <c r="W20" s="3">
        <f>W8+W9+W10-W11</f>
        <v>0</v>
      </c>
      <c r="X20" s="3">
        <f>X8+X9+X10-X11</f>
        <v>0</v>
      </c>
      <c r="AC20" s="47"/>
      <c r="AD20" s="5">
        <f>AD8+AD9+AD10-AD11</f>
        <v>0</v>
      </c>
      <c r="AE20" s="3">
        <f>AE8+AE9+AE10-AE11</f>
        <v>0</v>
      </c>
      <c r="AF20" s="3">
        <f>AF8+AF9+AF10-AF11</f>
        <v>0</v>
      </c>
      <c r="AG20" s="3">
        <f>AG8+AG9+AG10-AG11</f>
        <v>0</v>
      </c>
    </row>
    <row r="21" spans="2:36" x14ac:dyDescent="0.35">
      <c r="B21" s="183" t="s">
        <v>84</v>
      </c>
      <c r="C21" s="5">
        <f>C12+C13+C14+C15-C16</f>
        <v>0</v>
      </c>
      <c r="D21" s="3">
        <f>D12+D13+D14+D15-D16</f>
        <v>0</v>
      </c>
      <c r="E21" s="3">
        <f>E12+E13+E14+E15-E16</f>
        <v>0</v>
      </c>
      <c r="F21" s="3">
        <f>F12+F13+F14+F15-F16</f>
        <v>0</v>
      </c>
      <c r="K21" s="47"/>
      <c r="L21" s="5">
        <f>L12+L13+L14+L15-L16</f>
        <v>0</v>
      </c>
      <c r="M21" s="3">
        <f>M12+M13+M14+M15-M16</f>
        <v>0</v>
      </c>
      <c r="N21" s="3">
        <f>N12+N13+N14+N15-N16</f>
        <v>0</v>
      </c>
      <c r="O21" s="3">
        <f>O12+O13+O14+O15-O16</f>
        <v>0</v>
      </c>
      <c r="T21" s="47"/>
      <c r="U21" s="5">
        <f>U12+U13+U14+U15-U16</f>
        <v>0</v>
      </c>
      <c r="V21" s="3">
        <f>V12+V13+V14+V15-V16</f>
        <v>0</v>
      </c>
      <c r="W21" s="3">
        <f>W12+W13+W14+W15-W16</f>
        <v>0</v>
      </c>
      <c r="X21" s="3">
        <f>X12+X13+X14+X15-X16</f>
        <v>0</v>
      </c>
      <c r="AC21" s="47"/>
      <c r="AD21" s="5">
        <f>AD12+AD13+AD14+AD15-AD16</f>
        <v>0</v>
      </c>
      <c r="AE21" s="3">
        <f>AE12+AE13+AE14+AE15-AE16</f>
        <v>0</v>
      </c>
      <c r="AF21" s="3">
        <f>AF12+AF13+AF14+AF15-AF16</f>
        <v>0</v>
      </c>
      <c r="AG21" s="3">
        <f>AG12+AG13+AG14+AG15-AG16</f>
        <v>0</v>
      </c>
    </row>
    <row r="22" spans="2:36" x14ac:dyDescent="0.35">
      <c r="B22" s="183" t="s">
        <v>85</v>
      </c>
      <c r="C22" s="5">
        <f>C11+C16-C17</f>
        <v>0</v>
      </c>
      <c r="D22" s="3">
        <f>D11+D16-D17</f>
        <v>0</v>
      </c>
      <c r="E22" s="3">
        <f>E11+E16-E17</f>
        <v>0</v>
      </c>
      <c r="F22" s="3">
        <f>F11+F16-F17</f>
        <v>0</v>
      </c>
      <c r="K22" s="47"/>
      <c r="L22" s="5">
        <f>L11+L16-L17</f>
        <v>0</v>
      </c>
      <c r="M22" s="3">
        <f>M11+M16-M17</f>
        <v>0</v>
      </c>
      <c r="N22" s="3">
        <f>N11+N16-N17</f>
        <v>0</v>
      </c>
      <c r="O22" s="3">
        <f>O11+O16-O17</f>
        <v>0</v>
      </c>
      <c r="T22" s="47"/>
      <c r="U22" s="5">
        <f>U11+U16-U17</f>
        <v>0</v>
      </c>
      <c r="V22" s="3">
        <f>V11+V16-V17</f>
        <v>0</v>
      </c>
      <c r="W22" s="3">
        <f>W11+W16-W17</f>
        <v>0</v>
      </c>
      <c r="X22" s="3">
        <f>X11+X16-X17</f>
        <v>0</v>
      </c>
      <c r="AC22" s="47"/>
      <c r="AD22" s="5">
        <f>AD11+AD16-AD17</f>
        <v>0</v>
      </c>
      <c r="AE22" s="3">
        <f>AE11+AE16-AE17</f>
        <v>0</v>
      </c>
      <c r="AF22" s="3">
        <f>AF11+AF16-AF17</f>
        <v>0</v>
      </c>
      <c r="AG22" s="3">
        <f>AG11+AG16-AG17</f>
        <v>0</v>
      </c>
    </row>
    <row r="23" spans="2:36" x14ac:dyDescent="0.35">
      <c r="B23" s="183" t="s">
        <v>87</v>
      </c>
      <c r="C23" s="5">
        <f>SUM(C5:E5)-F5</f>
        <v>0</v>
      </c>
      <c r="D23" s="3">
        <f>SUM(C6:E6)-F6</f>
        <v>0</v>
      </c>
      <c r="E23" s="3">
        <f>SUM(C7:E7)-F7</f>
        <v>0</v>
      </c>
      <c r="F23" s="3">
        <f>SUM(C8:E8)-F8</f>
        <v>0</v>
      </c>
      <c r="G23" s="3">
        <f>SUM(C9:E9)-F9</f>
        <v>0</v>
      </c>
      <c r="H23" s="3">
        <f>SUM(C10:E10)-F10</f>
        <v>0</v>
      </c>
      <c r="I23" s="3">
        <f>SUM(C11:E11)-F11</f>
        <v>0</v>
      </c>
      <c r="K23" s="47"/>
      <c r="L23" s="5">
        <f>SUM(L5:N5)-O5</f>
        <v>0</v>
      </c>
      <c r="M23" s="3">
        <f>SUM(L6:N6)-O6</f>
        <v>0</v>
      </c>
      <c r="N23" s="3">
        <f>SUM(L7:N7)-O7</f>
        <v>0</v>
      </c>
      <c r="O23" s="3">
        <f>SUM(L8:N8)-O8</f>
        <v>0</v>
      </c>
      <c r="P23" s="3">
        <f>SUM(L9:N9)-O9</f>
        <v>0</v>
      </c>
      <c r="Q23" s="3">
        <f>SUM(L10:N10)-O10</f>
        <v>0</v>
      </c>
      <c r="R23" s="3">
        <f>SUM(L11:N11)-O11</f>
        <v>0</v>
      </c>
      <c r="T23" s="47"/>
      <c r="U23" s="5">
        <f>SUM(U5:W5)-X5</f>
        <v>0</v>
      </c>
      <c r="V23" s="3">
        <f>SUM(U6:W6)-X6</f>
        <v>0</v>
      </c>
      <c r="W23" s="3">
        <f>SUM(U7:W7)-X7</f>
        <v>0</v>
      </c>
      <c r="X23" s="3">
        <f>SUM(U8:W8)-X8</f>
        <v>0</v>
      </c>
      <c r="Y23" s="3">
        <f>SUM(U9:W9)-X9</f>
        <v>0</v>
      </c>
      <c r="Z23" s="3">
        <f>SUM(U10:W10)-X10</f>
        <v>0</v>
      </c>
      <c r="AA23" s="3">
        <f>SUM(U11:W11)-X11</f>
        <v>0</v>
      </c>
      <c r="AC23" s="47"/>
      <c r="AD23" s="5">
        <f>SUM(AD5:AF5)-AG5</f>
        <v>0</v>
      </c>
      <c r="AE23" s="3">
        <f>SUM(AD6:AF6)-AG6</f>
        <v>0</v>
      </c>
      <c r="AF23" s="3">
        <f>SUM(AD7:AF7)-AG7</f>
        <v>0</v>
      </c>
      <c r="AG23" s="3">
        <f>SUM(AD8:AF8)-AG8</f>
        <v>0</v>
      </c>
      <c r="AH23" s="3">
        <f>SUM(AD9:AF9)-AG9</f>
        <v>0</v>
      </c>
      <c r="AI23" s="3">
        <f>SUM(AD10:AF10)-AG10</f>
        <v>0</v>
      </c>
      <c r="AJ23" s="3">
        <f>SUM(AD11:AF11)-AG11</f>
        <v>0</v>
      </c>
    </row>
    <row r="24" spans="2:36" x14ac:dyDescent="0.35">
      <c r="B24" s="183" t="s">
        <v>89</v>
      </c>
      <c r="C24" s="5">
        <f>G5+H5+I5-J5</f>
        <v>0</v>
      </c>
      <c r="D24" s="3">
        <f>G6+H6+I6-J6</f>
        <v>0</v>
      </c>
      <c r="E24" s="3">
        <f>G7+H7+I7-J7</f>
        <v>0</v>
      </c>
      <c r="F24" s="3">
        <f>G8+H8+I8-J8</f>
        <v>0</v>
      </c>
      <c r="G24" s="3">
        <f>G9+H9+I9-J9</f>
        <v>0</v>
      </c>
      <c r="H24" s="3">
        <f>G10+H10+I10-J10</f>
        <v>0</v>
      </c>
      <c r="I24" s="3">
        <f>G11+H11+I11-J11</f>
        <v>0</v>
      </c>
      <c r="K24" s="47"/>
      <c r="L24" s="5">
        <f>P5+Q5+R5-S5</f>
        <v>0</v>
      </c>
      <c r="M24" s="3">
        <f>P6+Q6+R6-S6</f>
        <v>0</v>
      </c>
      <c r="N24" s="3">
        <f>P7+Q7+R7-S7</f>
        <v>0</v>
      </c>
      <c r="O24" s="3">
        <f>P8+Q8+R8-S8</f>
        <v>0</v>
      </c>
      <c r="P24" s="3">
        <f>P9+Q9+R9-S9</f>
        <v>0</v>
      </c>
      <c r="Q24" s="3">
        <f>P10+Q10+R10-S10</f>
        <v>0</v>
      </c>
      <c r="R24" s="3">
        <f>P11+Q11+R11-S11</f>
        <v>0</v>
      </c>
      <c r="T24" s="47"/>
      <c r="U24" s="5">
        <f>Y5+Z5+AA5-AB5</f>
        <v>0</v>
      </c>
      <c r="V24" s="3">
        <f>Y6+Z6+AA6-AB6</f>
        <v>0</v>
      </c>
      <c r="W24" s="3">
        <f>Y7+Z7+AA7-AB7</f>
        <v>0</v>
      </c>
      <c r="X24" s="3">
        <f>Y8+Z8+AA8-AB8</f>
        <v>0</v>
      </c>
      <c r="Y24" s="3">
        <f>Y9+Z9+AA9-AB9</f>
        <v>0</v>
      </c>
      <c r="Z24" s="3">
        <f>Y10+Z10+AA10-AB10</f>
        <v>0</v>
      </c>
      <c r="AA24" s="3">
        <f>Y11+Z11+AA11-AB11</f>
        <v>0</v>
      </c>
      <c r="AC24" s="47"/>
      <c r="AD24" s="5">
        <f>AH5+AI5+AJ5-AK5</f>
        <v>0</v>
      </c>
      <c r="AE24" s="3">
        <f>AH6+AI6+AJ6-AK6</f>
        <v>0</v>
      </c>
      <c r="AF24" s="3">
        <f>AH7+AI7+AJ7-AK7</f>
        <v>0</v>
      </c>
      <c r="AG24" s="3">
        <f>AH8+AI8+AJ8-AK8</f>
        <v>0</v>
      </c>
      <c r="AH24" s="3">
        <f>AH9+AI9+AJ9-AK9</f>
        <v>0</v>
      </c>
      <c r="AI24" s="3">
        <f>AH10+AI10+AJ10-AK10</f>
        <v>0</v>
      </c>
      <c r="AJ24" s="3">
        <f>AH11+AI11+AJ11-AK11</f>
        <v>0</v>
      </c>
    </row>
    <row r="25" spans="2:36" x14ac:dyDescent="0.35">
      <c r="B25" s="183" t="s">
        <v>88</v>
      </c>
      <c r="C25" s="5">
        <f>F5+J5-K5</f>
        <v>0</v>
      </c>
      <c r="D25" s="3">
        <f>F6+J6-K6</f>
        <v>0</v>
      </c>
      <c r="E25" s="3">
        <f>F7+J7-K7</f>
        <v>0</v>
      </c>
      <c r="F25" s="3">
        <f>F8+J8-K8</f>
        <v>0</v>
      </c>
      <c r="G25" s="3">
        <f>F9+J9-K9</f>
        <v>0</v>
      </c>
      <c r="H25" s="3">
        <f>F10+J10-K10</f>
        <v>0</v>
      </c>
      <c r="I25" s="3">
        <f>F11+J11-K11</f>
        <v>0</v>
      </c>
      <c r="K25" s="47"/>
      <c r="L25" s="5">
        <f>O5+S5-T5</f>
        <v>0</v>
      </c>
      <c r="M25" s="3">
        <f>O6+S6-T6</f>
        <v>0</v>
      </c>
      <c r="N25" s="3">
        <f>O7+S7-T7</f>
        <v>0</v>
      </c>
      <c r="O25" s="3">
        <f>O8+S8-T8</f>
        <v>0</v>
      </c>
      <c r="P25" s="3">
        <f>O9+S9-T9</f>
        <v>0</v>
      </c>
      <c r="Q25" s="3">
        <f>O10+S10-T10</f>
        <v>0</v>
      </c>
      <c r="R25" s="3">
        <f>O11+S11-T11</f>
        <v>0</v>
      </c>
      <c r="T25" s="47"/>
      <c r="U25" s="5">
        <f>X5+AB5-AC5</f>
        <v>0</v>
      </c>
      <c r="V25" s="3">
        <f>X6+AB6-AC6</f>
        <v>0</v>
      </c>
      <c r="W25" s="3">
        <f>X7+AB7-AC7</f>
        <v>0</v>
      </c>
      <c r="X25" s="3">
        <f>X8+AB8-AC8</f>
        <v>0</v>
      </c>
      <c r="Y25" s="3">
        <f>X9+AB9-AC9</f>
        <v>0</v>
      </c>
      <c r="Z25" s="3">
        <f>X10+AB10-AC10</f>
        <v>0</v>
      </c>
      <c r="AA25" s="3">
        <f>X11+AB11-AC11</f>
        <v>0</v>
      </c>
      <c r="AC25" s="47"/>
      <c r="AD25" s="5">
        <f>AG5+AK5-AL5</f>
        <v>0</v>
      </c>
      <c r="AE25" s="3">
        <f>AG6+AK6-AL6</f>
        <v>0</v>
      </c>
      <c r="AF25" s="3">
        <f>AG7+AK7-AL7</f>
        <v>0</v>
      </c>
      <c r="AG25" s="3">
        <f>AG8+AK8-AL8</f>
        <v>0</v>
      </c>
      <c r="AH25" s="3">
        <f>AG9+AK9-AL9</f>
        <v>0</v>
      </c>
      <c r="AI25" s="3">
        <f>AG10+AK10-AL10</f>
        <v>0</v>
      </c>
      <c r="AJ25" s="3">
        <f>AG11+AK11-AL11</f>
        <v>0</v>
      </c>
    </row>
    <row r="26" spans="2:36" x14ac:dyDescent="0.35">
      <c r="B26" s="183" t="s">
        <v>90</v>
      </c>
      <c r="C26" s="5">
        <f>C17-K5</f>
        <v>0</v>
      </c>
      <c r="D26" s="3">
        <f>D17-K6</f>
        <v>0</v>
      </c>
      <c r="E26" s="3">
        <f>E17-K7</f>
        <v>0</v>
      </c>
      <c r="F26" s="3">
        <f>F17-K8</f>
        <v>0</v>
      </c>
      <c r="K26" s="47"/>
      <c r="L26" s="5">
        <f>L17-T5</f>
        <v>0</v>
      </c>
      <c r="M26" s="3">
        <f>M17-T6</f>
        <v>0</v>
      </c>
      <c r="N26" s="3">
        <f>N17-T7</f>
        <v>0</v>
      </c>
      <c r="O26" s="3">
        <f>O17-T8</f>
        <v>0</v>
      </c>
      <c r="T26" s="47"/>
      <c r="U26" s="5">
        <f>U17-AC5</f>
        <v>0</v>
      </c>
      <c r="V26" s="3">
        <f>V17-AC6</f>
        <v>0</v>
      </c>
      <c r="W26" s="3">
        <f>W17-AC7</f>
        <v>0</v>
      </c>
      <c r="X26" s="3">
        <f>X17-AC8</f>
        <v>0</v>
      </c>
      <c r="AC26" s="47"/>
      <c r="AD26" s="5">
        <f>AD17-AL5</f>
        <v>0</v>
      </c>
      <c r="AE26" s="3">
        <f>AE17-AL6</f>
        <v>0</v>
      </c>
      <c r="AF26" s="3">
        <f>AF17-AL7</f>
        <v>0</v>
      </c>
      <c r="AG26" s="3">
        <f>AG17-AL8</f>
        <v>0</v>
      </c>
    </row>
    <row r="27" spans="2:36" x14ac:dyDescent="0.35">
      <c r="C27" s="10"/>
      <c r="K27" s="47"/>
      <c r="L27" s="10"/>
      <c r="T27" s="47"/>
      <c r="U27" s="10"/>
      <c r="AC27" s="47"/>
      <c r="AD27" s="10"/>
    </row>
    <row r="28" spans="2:36" x14ac:dyDescent="0.35">
      <c r="C28" s="202"/>
      <c r="K28" s="47"/>
      <c r="L28" s="202"/>
      <c r="T28" s="47"/>
      <c r="U28" s="202" t="s">
        <v>1149</v>
      </c>
      <c r="AB28" s="196"/>
      <c r="AC28" s="47"/>
      <c r="AD28" s="10"/>
    </row>
    <row r="29" spans="2:36" x14ac:dyDescent="0.35">
      <c r="C29" s="199"/>
      <c r="D29" s="198"/>
      <c r="E29" s="198"/>
      <c r="K29" s="194"/>
      <c r="L29" s="199"/>
      <c r="M29" s="198"/>
      <c r="N29" s="198"/>
      <c r="T29" s="194" t="str">
        <f>B5</f>
        <v>Upstream</v>
      </c>
      <c r="U29" s="199">
        <f t="shared" ref="U29:W31" si="15">U5/$AC5</f>
        <v>0.1375696272768874</v>
      </c>
      <c r="V29" s="198">
        <f t="shared" si="15"/>
        <v>0.37200126581182108</v>
      </c>
      <c r="W29" s="198">
        <f t="shared" si="15"/>
        <v>7.1163251121467486E-2</v>
      </c>
      <c r="AB29" s="196"/>
      <c r="AC29" s="47"/>
      <c r="AD29" s="10"/>
    </row>
    <row r="30" spans="2:36" x14ac:dyDescent="0.35">
      <c r="C30" s="199"/>
      <c r="D30" s="198"/>
      <c r="E30" s="198"/>
      <c r="K30" s="194"/>
      <c r="L30" s="199"/>
      <c r="M30" s="198"/>
      <c r="N30" s="198"/>
      <c r="T30" s="194" t="str">
        <f>B6</f>
        <v>Gyártás</v>
      </c>
      <c r="U30" s="199">
        <f t="shared" si="15"/>
        <v>3.0982032174142464E-2</v>
      </c>
      <c r="V30" s="198">
        <f t="shared" si="15"/>
        <v>0.16181960030884557</v>
      </c>
      <c r="W30" s="198">
        <f t="shared" si="15"/>
        <v>3.7187289264498345E-2</v>
      </c>
      <c r="AB30" s="196"/>
      <c r="AC30" s="47"/>
      <c r="AD30" s="10"/>
    </row>
    <row r="31" spans="2:36" x14ac:dyDescent="0.35">
      <c r="C31" s="199"/>
      <c r="D31" s="198"/>
      <c r="E31" s="198"/>
      <c r="K31" s="194"/>
      <c r="L31" s="199"/>
      <c r="M31" s="198"/>
      <c r="N31" s="198"/>
      <c r="T31" s="194" t="str">
        <f>B7</f>
        <v>Downstream</v>
      </c>
      <c r="U31" s="199">
        <f t="shared" si="15"/>
        <v>1.8156067720504952E-2</v>
      </c>
      <c r="V31" s="198">
        <f t="shared" si="15"/>
        <v>5.1293706245087271E-2</v>
      </c>
      <c r="W31" s="198">
        <f t="shared" si="15"/>
        <v>3.7602298187997173E-2</v>
      </c>
      <c r="AB31" s="196"/>
      <c r="AC31" s="47"/>
      <c r="AD31" s="10"/>
    </row>
    <row r="32" spans="2:36" x14ac:dyDescent="0.35">
      <c r="C32" s="199"/>
      <c r="D32" s="198"/>
      <c r="E32" s="198"/>
      <c r="K32" s="47"/>
      <c r="L32" s="199"/>
      <c r="M32" s="198"/>
      <c r="N32" s="198"/>
      <c r="T32" s="47"/>
      <c r="U32" s="10"/>
      <c r="AC32" s="47"/>
      <c r="AD32" s="10"/>
    </row>
    <row r="33" spans="3:33" ht="16.5" x14ac:dyDescent="0.35">
      <c r="C33" s="202"/>
      <c r="K33" s="47"/>
      <c r="L33" s="202"/>
      <c r="T33" s="47"/>
      <c r="U33" s="10" t="s">
        <v>1148</v>
      </c>
      <c r="AC33" s="47"/>
      <c r="AD33" s="10"/>
    </row>
    <row r="34" spans="3:33" x14ac:dyDescent="0.35">
      <c r="C34" s="199"/>
      <c r="D34" s="198"/>
      <c r="E34" s="198"/>
      <c r="K34" s="194"/>
      <c r="L34" s="199"/>
      <c r="M34" s="198"/>
      <c r="N34" s="198"/>
      <c r="T34" s="194" t="s">
        <v>27</v>
      </c>
      <c r="U34" s="199">
        <f>U9/U40</f>
        <v>0.29296032997653143</v>
      </c>
      <c r="V34" s="198">
        <f>V9/V40</f>
        <v>1.017970847579422</v>
      </c>
      <c r="W34" s="198">
        <f>W9/W40</f>
        <v>0.14290233505682134</v>
      </c>
      <c r="AC34" s="47"/>
      <c r="AD34" s="5">
        <f>U34*AD40</f>
        <v>3261324.6812238195</v>
      </c>
      <c r="AE34" s="3">
        <f>V34*AE40</f>
        <v>23712569.626111962</v>
      </c>
      <c r="AF34" s="3">
        <f>W34*AF40</f>
        <v>1485257.7966077433</v>
      </c>
      <c r="AG34" s="3">
        <f>SUM(AD34:AF34)</f>
        <v>28459152.103943527</v>
      </c>
    </row>
    <row r="35" spans="3:33" x14ac:dyDescent="0.35">
      <c r="C35" s="199"/>
      <c r="D35" s="198"/>
      <c r="E35" s="198"/>
      <c r="K35" s="194"/>
      <c r="L35" s="199"/>
      <c r="M35" s="198"/>
      <c r="N35" s="198"/>
      <c r="T35" s="194"/>
      <c r="U35" s="10"/>
      <c r="AC35" s="47"/>
      <c r="AD35" s="10"/>
    </row>
    <row r="36" spans="3:33" ht="16.5" x14ac:dyDescent="0.35">
      <c r="C36" s="199"/>
      <c r="D36" s="198"/>
      <c r="E36" s="198"/>
      <c r="K36" s="194"/>
      <c r="L36" s="199"/>
      <c r="M36" s="198"/>
      <c r="N36" s="198"/>
      <c r="T36" s="194" t="s">
        <v>1147</v>
      </c>
      <c r="U36" s="10" t="s">
        <v>1146</v>
      </c>
      <c r="AC36" s="47"/>
      <c r="AD36" s="10"/>
    </row>
    <row r="37" spans="3:33" x14ac:dyDescent="0.35">
      <c r="C37" s="199"/>
      <c r="D37" s="198"/>
      <c r="E37" s="198"/>
      <c r="K37" s="47"/>
      <c r="L37" s="199"/>
      <c r="M37" s="198"/>
      <c r="N37" s="198"/>
      <c r="T37" s="47"/>
      <c r="U37" s="199">
        <f>U10/U40</f>
        <v>4.2102720941293567E-2</v>
      </c>
      <c r="V37" s="198">
        <f>V10/V40</f>
        <v>3.2612211949415368E-2</v>
      </c>
      <c r="W37" s="198">
        <f>W10/W40</f>
        <v>6.8239633286017135E-2</v>
      </c>
      <c r="AC37" s="47"/>
      <c r="AD37" s="5">
        <f>U37*AD40</f>
        <v>468700.46522517025</v>
      </c>
      <c r="AE37" s="3">
        <f>V37*AE40</f>
        <v>759667.47805289982</v>
      </c>
      <c r="AF37" s="3">
        <f>W37*AF40</f>
        <v>709249.76373136032</v>
      </c>
      <c r="AG37" s="3">
        <f>SUM(AD37:AF37)</f>
        <v>1937617.7070094305</v>
      </c>
    </row>
    <row r="38" spans="3:33" x14ac:dyDescent="0.35">
      <c r="C38" s="10"/>
      <c r="K38" s="47"/>
      <c r="L38" s="10"/>
      <c r="T38" s="47"/>
      <c r="U38" s="10"/>
      <c r="AC38" s="47"/>
      <c r="AD38" s="10"/>
    </row>
    <row r="39" spans="3:33" x14ac:dyDescent="0.35">
      <c r="C39" s="199"/>
      <c r="D39" s="198"/>
      <c r="E39" s="198"/>
      <c r="K39" s="47"/>
      <c r="L39" s="199"/>
      <c r="M39" s="198"/>
      <c r="N39" s="198"/>
      <c r="T39" s="47"/>
      <c r="U39" s="202" t="s">
        <v>1145</v>
      </c>
      <c r="AC39" s="47"/>
      <c r="AD39" s="10"/>
    </row>
    <row r="40" spans="3:33" x14ac:dyDescent="0.35">
      <c r="C40" s="199"/>
      <c r="D40" s="198"/>
      <c r="E40" s="198"/>
      <c r="K40" s="194"/>
      <c r="L40" s="199"/>
      <c r="M40" s="198"/>
      <c r="N40" s="198"/>
      <c r="T40" s="194" t="s">
        <v>1144</v>
      </c>
      <c r="U40" s="5">
        <f>U16</f>
        <v>8891319.0769570861</v>
      </c>
      <c r="V40" s="3">
        <f>V16</f>
        <v>25534946.581636526</v>
      </c>
      <c r="W40" s="3">
        <f>W16</f>
        <v>10393516.635100257</v>
      </c>
      <c r="X40" s="3">
        <f>SUM(U40:W40)</f>
        <v>44819782.29369387</v>
      </c>
      <c r="AC40" s="47"/>
      <c r="AD40" s="5">
        <f>$AG$40*AD42</f>
        <v>11132308.19164178</v>
      </c>
      <c r="AE40" s="3">
        <f>$AG$40*AE42</f>
        <v>23293957.466951832</v>
      </c>
      <c r="AF40" s="3">
        <f>$AG$40*AF42</f>
        <v>10393516.635100257</v>
      </c>
      <c r="AG40" s="3">
        <f>X40</f>
        <v>44819782.29369387</v>
      </c>
    </row>
    <row r="41" spans="3:33" x14ac:dyDescent="0.35">
      <c r="C41" s="199"/>
      <c r="D41" s="198"/>
      <c r="E41" s="198"/>
      <c r="K41" s="194"/>
      <c r="L41" s="199"/>
      <c r="M41" s="198"/>
      <c r="N41" s="198"/>
      <c r="T41" s="194"/>
      <c r="U41" s="5"/>
      <c r="V41" s="3"/>
      <c r="W41" s="3"/>
      <c r="X41" s="3"/>
      <c r="AC41" s="47"/>
      <c r="AD41" s="236">
        <v>0.05</v>
      </c>
      <c r="AE41" s="179">
        <f>-(AD41+AF41)</f>
        <v>-0.05</v>
      </c>
      <c r="AF41" s="236">
        <v>0</v>
      </c>
    </row>
    <row r="42" spans="3:33" x14ac:dyDescent="0.35">
      <c r="C42" s="199"/>
      <c r="D42" s="198"/>
      <c r="E42" s="198"/>
      <c r="K42" s="194"/>
      <c r="L42" s="199"/>
      <c r="M42" s="198"/>
      <c r="N42" s="198"/>
      <c r="T42" s="194"/>
      <c r="U42" s="204">
        <f>U40/$X$40</f>
        <v>0.19837934550182079</v>
      </c>
      <c r="V42" s="203">
        <f>V40/$X$40</f>
        <v>0.56972491330528585</v>
      </c>
      <c r="W42" s="203">
        <f>W40/$X$40</f>
        <v>0.23189574119289333</v>
      </c>
      <c r="X42" s="203">
        <f>X40/$X$40</f>
        <v>1</v>
      </c>
      <c r="AC42" s="47"/>
      <c r="AD42" s="201">
        <f>U42+AD41</f>
        <v>0.24837934550182078</v>
      </c>
      <c r="AE42" s="200">
        <f>V42+AE41</f>
        <v>0.51972491330528581</v>
      </c>
      <c r="AF42" s="200">
        <f>W42+AF41</f>
        <v>0.23189574119289333</v>
      </c>
    </row>
    <row r="43" spans="3:33" x14ac:dyDescent="0.35">
      <c r="C43" s="199"/>
      <c r="D43" s="198"/>
      <c r="E43" s="198"/>
      <c r="K43" s="47"/>
      <c r="L43" s="199"/>
      <c r="M43" s="198"/>
      <c r="N43" s="198"/>
      <c r="T43" s="47"/>
      <c r="U43" s="10"/>
      <c r="AC43" s="47"/>
      <c r="AD43" s="10"/>
    </row>
    <row r="44" spans="3:33" x14ac:dyDescent="0.35">
      <c r="C44" s="199"/>
      <c r="D44" s="198"/>
      <c r="E44" s="198"/>
      <c r="K44" s="47"/>
      <c r="L44" s="199"/>
      <c r="M44" s="198"/>
      <c r="N44" s="198"/>
      <c r="T44" s="47"/>
      <c r="U44" s="10" t="s">
        <v>1143</v>
      </c>
      <c r="AC44" s="47"/>
      <c r="AD44" s="5">
        <f>AD34+AD37+AD40</f>
        <v>14862333.33809077</v>
      </c>
      <c r="AE44" s="3">
        <f>AE34+AE37+AE40</f>
        <v>47766194.571116693</v>
      </c>
      <c r="AF44" s="3">
        <f>AF34+AF37+AF40</f>
        <v>12588024.195439361</v>
      </c>
    </row>
    <row r="45" spans="3:33" x14ac:dyDescent="0.35">
      <c r="C45" s="10"/>
      <c r="K45" s="47"/>
      <c r="L45" s="10"/>
      <c r="T45" s="47" t="str">
        <f>T29</f>
        <v>Upstream</v>
      </c>
      <c r="U45" s="202">
        <v>1</v>
      </c>
      <c r="AC45" s="47"/>
      <c r="AD45" s="10"/>
    </row>
    <row r="46" spans="3:33" x14ac:dyDescent="0.35">
      <c r="C46" s="10"/>
      <c r="K46" s="47"/>
      <c r="L46" s="10"/>
      <c r="T46" s="47" t="str">
        <f>T30</f>
        <v>Gyártás</v>
      </c>
      <c r="U46" s="10"/>
      <c r="V46" s="183">
        <v>1</v>
      </c>
      <c r="AC46" s="47"/>
      <c r="AD46" s="10"/>
    </row>
    <row r="47" spans="3:33" x14ac:dyDescent="0.35">
      <c r="C47" s="5"/>
      <c r="D47" s="3"/>
      <c r="E47" s="3"/>
      <c r="K47" s="47"/>
      <c r="L47" s="5"/>
      <c r="M47" s="3"/>
      <c r="N47" s="3"/>
      <c r="T47" s="47" t="str">
        <f>T31</f>
        <v>Downstream</v>
      </c>
      <c r="U47" s="10"/>
      <c r="W47" s="183">
        <v>1</v>
      </c>
      <c r="AC47" s="47"/>
      <c r="AD47" s="10"/>
    </row>
    <row r="48" spans="3:33" x14ac:dyDescent="0.35">
      <c r="C48" s="5"/>
      <c r="D48" s="3"/>
      <c r="E48" s="3"/>
      <c r="K48" s="47"/>
      <c r="L48" s="5"/>
      <c r="M48" s="3"/>
      <c r="N48" s="3"/>
      <c r="T48" s="47"/>
      <c r="U48" s="10"/>
      <c r="AC48" s="47"/>
      <c r="AD48" s="10"/>
    </row>
    <row r="49" spans="2:32" x14ac:dyDescent="0.35">
      <c r="C49" s="5"/>
      <c r="D49" s="3"/>
      <c r="E49" s="3"/>
      <c r="K49" s="47"/>
      <c r="L49" s="5"/>
      <c r="M49" s="3"/>
      <c r="N49" s="3"/>
      <c r="T49" s="47"/>
      <c r="U49" s="10" t="s">
        <v>1142</v>
      </c>
      <c r="AC49" s="47"/>
      <c r="AD49" s="10"/>
    </row>
    <row r="50" spans="2:32" x14ac:dyDescent="0.35">
      <c r="C50" s="5"/>
      <c r="D50" s="3"/>
      <c r="E50" s="3"/>
      <c r="K50" s="47"/>
      <c r="L50" s="5"/>
      <c r="M50" s="3"/>
      <c r="N50" s="3"/>
      <c r="T50" s="47" t="str">
        <f>T45</f>
        <v>Upstream</v>
      </c>
      <c r="U50" s="199">
        <f t="shared" ref="U50:W52" si="16">U45-U29</f>
        <v>0.86243037272311263</v>
      </c>
      <c r="V50" s="198">
        <f t="shared" si="16"/>
        <v>-0.37200126581182108</v>
      </c>
      <c r="W50" s="198">
        <f t="shared" si="16"/>
        <v>-7.1163251121467486E-2</v>
      </c>
      <c r="AC50" s="47"/>
      <c r="AD50" s="10"/>
    </row>
    <row r="51" spans="2:32" x14ac:dyDescent="0.35">
      <c r="C51" s="10"/>
      <c r="K51" s="47"/>
      <c r="L51" s="10"/>
      <c r="T51" s="47" t="str">
        <f>T46</f>
        <v>Gyártás</v>
      </c>
      <c r="U51" s="199">
        <f t="shared" si="16"/>
        <v>-3.0982032174142464E-2</v>
      </c>
      <c r="V51" s="198">
        <f t="shared" si="16"/>
        <v>0.83818039969115443</v>
      </c>
      <c r="W51" s="198">
        <f t="shared" si="16"/>
        <v>-3.7187289264498345E-2</v>
      </c>
      <c r="AC51" s="47"/>
      <c r="AD51" s="10"/>
    </row>
    <row r="52" spans="2:32" x14ac:dyDescent="0.35">
      <c r="C52" s="10"/>
      <c r="K52" s="47"/>
      <c r="L52" s="10"/>
      <c r="T52" s="47" t="str">
        <f>T47</f>
        <v>Downstream</v>
      </c>
      <c r="U52" s="199">
        <f t="shared" si="16"/>
        <v>-1.8156067720504952E-2</v>
      </c>
      <c r="V52" s="198">
        <f t="shared" si="16"/>
        <v>-5.1293706245087271E-2</v>
      </c>
      <c r="W52" s="198">
        <f t="shared" si="16"/>
        <v>0.96239770181200279</v>
      </c>
      <c r="AC52" s="47"/>
      <c r="AD52" s="10"/>
    </row>
    <row r="53" spans="2:32" x14ac:dyDescent="0.35">
      <c r="C53" s="197"/>
      <c r="D53" s="196"/>
      <c r="E53" s="196"/>
      <c r="F53" s="196"/>
      <c r="K53" s="47"/>
      <c r="L53" s="197"/>
      <c r="M53" s="196"/>
      <c r="N53" s="196"/>
      <c r="O53" s="196"/>
      <c r="T53" s="47"/>
      <c r="U53" s="10"/>
      <c r="AC53" s="47"/>
      <c r="AD53" s="10"/>
    </row>
    <row r="54" spans="2:32" ht="16.5" x14ac:dyDescent="0.35">
      <c r="C54" s="201"/>
      <c r="D54" s="200"/>
      <c r="E54" s="200"/>
      <c r="F54" s="196"/>
      <c r="K54" s="47"/>
      <c r="L54" s="201"/>
      <c r="M54" s="200"/>
      <c r="N54" s="200"/>
      <c r="O54" s="196"/>
      <c r="T54" s="47"/>
      <c r="U54" s="10" t="s">
        <v>1141</v>
      </c>
      <c r="AC54" s="47"/>
      <c r="AD54" s="10"/>
    </row>
    <row r="55" spans="2:32" x14ac:dyDescent="0.35">
      <c r="C55" s="5"/>
      <c r="D55" s="3"/>
      <c r="E55" s="3"/>
      <c r="F55" s="3"/>
      <c r="K55" s="47"/>
      <c r="L55" s="5"/>
      <c r="M55" s="3"/>
      <c r="N55" s="3"/>
      <c r="O55" s="3"/>
      <c r="T55" s="47" t="str">
        <f>T50</f>
        <v>Upstream</v>
      </c>
      <c r="U55" s="199" cm="1">
        <f t="array" ref="U55:W57">MINVERSE(U50:W52)</f>
        <v>1.1808480705773701</v>
      </c>
      <c r="V55" s="198">
        <v>0.53068237598365908</v>
      </c>
      <c r="W55" s="198">
        <v>0.10782198109024951</v>
      </c>
      <c r="AC55" s="47"/>
      <c r="AD55" s="10"/>
    </row>
    <row r="56" spans="2:32" x14ac:dyDescent="0.35">
      <c r="C56" s="5"/>
      <c r="D56" s="3"/>
      <c r="E56" s="3"/>
      <c r="K56" s="47"/>
      <c r="L56" s="5"/>
      <c r="M56" s="3"/>
      <c r="N56" s="3"/>
      <c r="T56" s="47" t="str">
        <f>T51</f>
        <v>Gyártás</v>
      </c>
      <c r="U56" s="199">
        <v>4.4742375615133674E-2</v>
      </c>
      <c r="V56" s="198">
        <v>1.2159960169616695</v>
      </c>
      <c r="W56" s="198">
        <v>5.0294808942049518E-2</v>
      </c>
      <c r="AC56" s="47"/>
      <c r="AD56" s="10"/>
    </row>
    <row r="57" spans="2:32" x14ac:dyDescent="0.35">
      <c r="C57" s="5"/>
      <c r="D57" s="3"/>
      <c r="E57" s="3"/>
      <c r="F57" s="3"/>
      <c r="K57" s="47"/>
      <c r="L57" s="5"/>
      <c r="M57" s="3"/>
      <c r="N57" s="3"/>
      <c r="O57" s="3"/>
      <c r="T57" s="47" t="str">
        <f>T52</f>
        <v>Downstream</v>
      </c>
      <c r="U57" s="199">
        <v>2.4661904079626255E-2</v>
      </c>
      <c r="V57" s="198">
        <v>7.4821508312092833E-2</v>
      </c>
      <c r="W57" s="198">
        <v>1.0437861899032139</v>
      </c>
      <c r="AC57" s="47"/>
      <c r="AD57" s="10"/>
    </row>
    <row r="58" spans="2:32" x14ac:dyDescent="0.35">
      <c r="C58" s="10"/>
      <c r="K58" s="47"/>
      <c r="L58" s="10"/>
      <c r="T58" s="47"/>
      <c r="U58" s="10"/>
      <c r="AC58" s="47"/>
      <c r="AD58" s="10"/>
    </row>
    <row r="59" spans="2:32" x14ac:dyDescent="0.35">
      <c r="C59" s="10"/>
      <c r="K59" s="47"/>
      <c r="L59" s="10"/>
      <c r="T59" s="47"/>
      <c r="U59" s="10" t="s">
        <v>20</v>
      </c>
      <c r="AC59" s="47"/>
      <c r="AD59" s="10"/>
    </row>
    <row r="60" spans="2:32" x14ac:dyDescent="0.35">
      <c r="C60" s="5"/>
      <c r="D60" s="3"/>
      <c r="E60" s="3"/>
      <c r="F60" s="3"/>
      <c r="J60" s="3"/>
      <c r="K60" s="195"/>
      <c r="L60" s="5"/>
      <c r="M60" s="3"/>
      <c r="N60" s="3"/>
      <c r="O60" s="3"/>
      <c r="S60" s="3"/>
      <c r="T60" s="195"/>
      <c r="U60" s="5">
        <f>U9+U10+U16</f>
        <v>11870471.573566187</v>
      </c>
      <c r="V60" s="3">
        <f>V9+V10+V16</f>
        <v>52361528.886277653</v>
      </c>
      <c r="W60" s="3">
        <f>W9+W10+W16</f>
        <v>12588024.195439361</v>
      </c>
      <c r="AC60" s="47"/>
      <c r="AD60" s="197"/>
      <c r="AE60" s="196"/>
      <c r="AF60" s="196"/>
    </row>
    <row r="61" spans="2:32" x14ac:dyDescent="0.35">
      <c r="C61" s="5"/>
      <c r="D61" s="3"/>
      <c r="E61" s="3"/>
      <c r="F61" s="3"/>
      <c r="J61" s="3"/>
      <c r="K61" s="195"/>
      <c r="L61" s="5"/>
      <c r="M61" s="3"/>
      <c r="N61" s="3"/>
      <c r="O61" s="3"/>
      <c r="S61" s="3"/>
      <c r="T61" s="195"/>
      <c r="U61" s="5" cm="1">
        <f t="array" ref="U61:W61">MMULT(U60:W60,U55:W57)</f>
        <v>16670447.292961597</v>
      </c>
      <c r="V61" s="3">
        <v>70912715.583415523</v>
      </c>
      <c r="W61" s="3">
        <v>17052616.666153461</v>
      </c>
      <c r="AC61" s="47"/>
      <c r="AD61" s="10"/>
    </row>
    <row r="62" spans="2:32" x14ac:dyDescent="0.35">
      <c r="C62" s="5"/>
      <c r="D62" s="3"/>
      <c r="E62" s="3"/>
      <c r="F62" s="3"/>
      <c r="J62" s="3"/>
      <c r="K62" s="195"/>
      <c r="L62" s="5"/>
      <c r="M62" s="3"/>
      <c r="N62" s="3"/>
      <c r="O62" s="3"/>
      <c r="S62" s="3"/>
      <c r="T62" s="195"/>
      <c r="U62" s="5">
        <f>U61-U17</f>
        <v>0</v>
      </c>
      <c r="V62" s="3">
        <f>V61-V17</f>
        <v>0</v>
      </c>
      <c r="W62" s="3">
        <f>W61-W17</f>
        <v>0</v>
      </c>
      <c r="AC62" s="47"/>
      <c r="AD62" s="10"/>
    </row>
    <row r="63" spans="2:32" x14ac:dyDescent="0.35">
      <c r="B63" s="195"/>
      <c r="C63" s="10"/>
      <c r="F63" s="3"/>
      <c r="J63" s="3"/>
      <c r="K63" s="195"/>
      <c r="L63" s="10"/>
      <c r="O63" s="3"/>
      <c r="S63" s="3"/>
      <c r="T63" s="195"/>
      <c r="U63" s="5"/>
      <c r="V63" s="3"/>
      <c r="W63" s="3"/>
      <c r="AC63" s="47"/>
      <c r="AD63" s="10"/>
    </row>
    <row r="64" spans="2:32" x14ac:dyDescent="0.35">
      <c r="B64" s="195"/>
      <c r="C64" s="10" t="s">
        <v>1140</v>
      </c>
      <c r="F64" s="3"/>
      <c r="J64" s="3"/>
      <c r="K64" s="195"/>
      <c r="L64" s="10" t="s">
        <v>1140</v>
      </c>
      <c r="O64" s="3"/>
      <c r="S64" s="3"/>
      <c r="T64" s="195"/>
      <c r="U64" s="10" t="s">
        <v>1140</v>
      </c>
      <c r="AC64" s="195"/>
      <c r="AD64" s="10" t="s">
        <v>1140</v>
      </c>
    </row>
    <row r="65" spans="2:33" x14ac:dyDescent="0.35">
      <c r="B65" s="194" t="s">
        <v>1139</v>
      </c>
      <c r="C65" s="193">
        <f>C16/C17</f>
        <v>0.50754178198319977</v>
      </c>
      <c r="D65" s="48">
        <f>D16/D17</f>
        <v>0.34414549197046868</v>
      </c>
      <c r="E65" s="48">
        <f>E16/E17</f>
        <v>0.60364200004006485</v>
      </c>
      <c r="F65" s="48">
        <f>F16/F17</f>
        <v>0.41541711686591082</v>
      </c>
      <c r="J65" s="3"/>
      <c r="K65" s="47"/>
      <c r="L65" s="193">
        <f>L16/L17</f>
        <v>0.51640669906677039</v>
      </c>
      <c r="M65" s="48">
        <f>M16/M17</f>
        <v>0.35258581129842681</v>
      </c>
      <c r="N65" s="48">
        <f>N16/N17</f>
        <v>0.60277320999766226</v>
      </c>
      <c r="S65" s="3"/>
      <c r="T65" s="47" t="s">
        <v>1139</v>
      </c>
      <c r="U65" s="193">
        <f>U16/U17</f>
        <v>0.53335815894460581</v>
      </c>
      <c r="V65" s="48">
        <f>V16/V17</f>
        <v>0.36008981423930164</v>
      </c>
      <c r="W65" s="48">
        <f>W16/W17</f>
        <v>0.60949687890009385</v>
      </c>
      <c r="X65" s="48">
        <f>X16/X17</f>
        <v>0.42834088387018976</v>
      </c>
      <c r="AC65" s="47" t="s">
        <v>1139</v>
      </c>
      <c r="AD65" s="193">
        <f>AD16/AD17</f>
        <v>0.55667733127806485</v>
      </c>
      <c r="AE65" s="48">
        <f>AE16/AE17</f>
        <v>0.34812546309778647</v>
      </c>
      <c r="AF65" s="48">
        <f>AF16/AF17</f>
        <v>0.60624509520424796</v>
      </c>
      <c r="AG65" s="48">
        <f>AG16/AG17</f>
        <v>0.43073416019972499</v>
      </c>
    </row>
    <row r="66" spans="2:33" x14ac:dyDescent="0.35">
      <c r="C66" s="5"/>
      <c r="D66" s="3"/>
      <c r="E66" s="3"/>
      <c r="J66" s="192"/>
      <c r="K66" s="191"/>
      <c r="L66" s="5"/>
      <c r="M66" s="3"/>
      <c r="N66" s="3"/>
      <c r="S66" s="192"/>
      <c r="T66" s="191"/>
      <c r="U66" s="10"/>
      <c r="AC66" s="47"/>
      <c r="AD66" s="10"/>
    </row>
  </sheetData>
  <sheetProtection algorithmName="SHA-512" hashValue="eWYN6GDupFZOsB2MtojEL8j9FzgVZJXKyiKuHXV9Zj+zc4fO2LzPuKt1wjod2cTHAlnxhTUyAU2IdBJSP9oBjQ==" saltValue="2kwek+ySwuZG2QvTgLqyNQ==" spinCount="100000" sheet="1" formatCells="0" formatColumns="0" formatRows="0" insertColumns="0" insertRows="0" insertHyperlinks="0" deleteColumns="0" deleteRows="0"/>
  <mergeCells count="8">
    <mergeCell ref="AD2:AL2"/>
    <mergeCell ref="AD3:AL3"/>
    <mergeCell ref="C2:K2"/>
    <mergeCell ref="C3:K3"/>
    <mergeCell ref="L2:T2"/>
    <mergeCell ref="L3:T3"/>
    <mergeCell ref="U2:AC2"/>
    <mergeCell ref="U3:AC3"/>
  </mergeCells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2E1C63-36FD-4EA6-A175-28C1CC62FB08}">
  <dimension ref="B2:AL69"/>
  <sheetViews>
    <sheetView topLeftCell="AC10" zoomScale="70" zoomScaleNormal="70" workbookViewId="0">
      <selection activeCell="AF33" sqref="AF33"/>
    </sheetView>
  </sheetViews>
  <sheetFormatPr defaultRowHeight="14.5" x14ac:dyDescent="0.35"/>
  <cols>
    <col min="1" max="1" width="3.7265625" customWidth="1"/>
    <col min="2" max="2" width="70.7265625" bestFit="1" customWidth="1"/>
    <col min="3" max="10" width="12.7265625" style="183" customWidth="1"/>
    <col min="11" max="12" width="15.1796875" style="183" customWidth="1"/>
    <col min="13" max="38" width="12.7265625" style="183" customWidth="1"/>
  </cols>
  <sheetData>
    <row r="2" spans="2:38" x14ac:dyDescent="0.35">
      <c r="C2" s="354">
        <f>Variánsképzés!C2</f>
        <v>2011</v>
      </c>
      <c r="D2" s="354"/>
      <c r="E2" s="354"/>
      <c r="F2" s="354"/>
      <c r="G2" s="354"/>
      <c r="H2" s="354"/>
      <c r="I2" s="354"/>
      <c r="J2" s="354"/>
      <c r="K2" s="354"/>
      <c r="L2" s="355">
        <f>Variánsképzés!L2</f>
        <v>2015</v>
      </c>
      <c r="M2" s="352"/>
      <c r="N2" s="352"/>
      <c r="O2" s="352"/>
      <c r="P2" s="352"/>
      <c r="Q2" s="352"/>
      <c r="R2" s="352"/>
      <c r="S2" s="352"/>
      <c r="T2" s="384"/>
      <c r="U2" s="187"/>
      <c r="V2" s="354">
        <f>'Bázis modell AKM-ei'!CO2</f>
        <v>2020</v>
      </c>
      <c r="W2" s="354"/>
      <c r="X2" s="354"/>
      <c r="Y2" s="354"/>
      <c r="Z2" s="354"/>
      <c r="AA2" s="354"/>
      <c r="AB2" s="354"/>
      <c r="AC2" s="354"/>
      <c r="AD2" s="186"/>
      <c r="AE2" s="354" t="str">
        <f>Variánsképzés!AD2</f>
        <v>Modellezett változat 2025</v>
      </c>
      <c r="AF2" s="354"/>
      <c r="AG2" s="354"/>
      <c r="AH2" s="354"/>
      <c r="AI2" s="354"/>
      <c r="AJ2" s="354"/>
      <c r="AK2" s="354"/>
      <c r="AL2" s="354"/>
    </row>
    <row r="3" spans="2:38" x14ac:dyDescent="0.35">
      <c r="C3" s="355" t="str">
        <f>Variánsképzés!C3</f>
        <v>2015 évi áron</v>
      </c>
      <c r="D3" s="352"/>
      <c r="E3" s="352"/>
      <c r="F3" s="352"/>
      <c r="G3" s="352"/>
      <c r="H3" s="352"/>
      <c r="I3" s="352"/>
      <c r="J3" s="352"/>
      <c r="K3" s="384"/>
      <c r="L3" s="355" t="str">
        <f>Variánsképzés!L3</f>
        <v>2015 évi áron</v>
      </c>
      <c r="M3" s="352"/>
      <c r="N3" s="352"/>
      <c r="O3" s="352"/>
      <c r="P3" s="352"/>
      <c r="Q3" s="352"/>
      <c r="R3" s="352"/>
      <c r="S3" s="352"/>
      <c r="T3" s="384"/>
      <c r="U3" s="187"/>
      <c r="V3" s="354" t="str">
        <f>'Bázis modell AKM-ei'!CO3</f>
        <v>2015 évi áron</v>
      </c>
      <c r="W3" s="354"/>
      <c r="X3" s="354"/>
      <c r="Y3" s="354"/>
      <c r="Z3" s="354"/>
      <c r="AA3" s="354"/>
      <c r="AB3" s="354"/>
      <c r="AC3" s="354"/>
      <c r="AD3" s="186"/>
      <c r="AE3" s="354" t="str">
        <f>Variánsképzés!AD3</f>
        <v>2015 évi áron</v>
      </c>
      <c r="AF3" s="354"/>
      <c r="AG3" s="354"/>
      <c r="AH3" s="354"/>
      <c r="AI3" s="354"/>
      <c r="AJ3" s="354"/>
      <c r="AK3" s="354"/>
      <c r="AL3" s="354"/>
    </row>
    <row r="4" spans="2:38" s="183" customFormat="1" ht="58" x14ac:dyDescent="0.35">
      <c r="C4" s="208" t="str">
        <f>Variánsképzés!C4</f>
        <v>Upstream</v>
      </c>
      <c r="D4" s="208" t="str">
        <f>Variánsképzés!D4</f>
        <v>Gyártás</v>
      </c>
      <c r="E4" s="208" t="str">
        <f>Variánsképzés!E4</f>
        <v>Downstream</v>
      </c>
      <c r="F4" s="208" t="str">
        <f>Variánsképzés!F4</f>
        <v>Összes input</v>
      </c>
      <c r="G4" s="208" t="str">
        <f>Variánsképzés!G4</f>
        <v>Végső fogyasztási kiadás összesen</v>
      </c>
      <c r="H4" s="208" t="str">
        <f>Variánsképzés!H4</f>
        <v>Bruttó felhalmozás összesen</v>
      </c>
      <c r="I4" s="208" t="str">
        <f>Variánsképzés!I4</f>
        <v>Export összesen</v>
      </c>
      <c r="J4" s="208" t="str">
        <f>Variánsképzés!J4</f>
        <v>Végső felhasználás összesen</v>
      </c>
      <c r="K4" s="208" t="str">
        <f>Variánsképzés!K4</f>
        <v>Felhasználás összesen</v>
      </c>
      <c r="L4" s="208" t="str">
        <f>C4</f>
        <v>Upstream</v>
      </c>
      <c r="M4" s="208" t="str">
        <f>D4</f>
        <v>Gyártás</v>
      </c>
      <c r="N4" s="208" t="str">
        <f t="shared" ref="N4:T4" si="0">E4</f>
        <v>Downstream</v>
      </c>
      <c r="O4" s="208" t="str">
        <f t="shared" si="0"/>
        <v>Összes input</v>
      </c>
      <c r="P4" s="208" t="str">
        <f t="shared" si="0"/>
        <v>Végső fogyasztási kiadás összesen</v>
      </c>
      <c r="Q4" s="208" t="str">
        <f t="shared" si="0"/>
        <v>Bruttó felhalmozás összesen</v>
      </c>
      <c r="R4" s="208" t="str">
        <f t="shared" si="0"/>
        <v>Export összesen</v>
      </c>
      <c r="S4" s="208" t="str">
        <f t="shared" si="0"/>
        <v>Végső felhasználás összesen</v>
      </c>
      <c r="T4" s="208" t="str">
        <f t="shared" si="0"/>
        <v>Felhasználás összesen</v>
      </c>
      <c r="U4" s="208" t="str">
        <f t="shared" ref="U4:V4" si="1">L4</f>
        <v>Upstream</v>
      </c>
      <c r="V4" s="208" t="str">
        <f t="shared" si="1"/>
        <v>Gyártás</v>
      </c>
      <c r="W4" s="208" t="str">
        <f t="shared" ref="W4" si="2">N4</f>
        <v>Downstream</v>
      </c>
      <c r="X4" s="208" t="str">
        <f t="shared" ref="X4" si="3">O4</f>
        <v>Összes input</v>
      </c>
      <c r="Y4" s="208" t="str">
        <f t="shared" ref="Y4" si="4">P4</f>
        <v>Végső fogyasztási kiadás összesen</v>
      </c>
      <c r="Z4" s="208" t="str">
        <f t="shared" ref="Z4" si="5">Q4</f>
        <v>Bruttó felhalmozás összesen</v>
      </c>
      <c r="AA4" s="208" t="str">
        <f t="shared" ref="AA4" si="6">R4</f>
        <v>Export összesen</v>
      </c>
      <c r="AB4" s="208" t="str">
        <f t="shared" ref="AB4" si="7">S4</f>
        <v>Végső felhasználás összesen</v>
      </c>
      <c r="AC4" s="208" t="str">
        <f t="shared" ref="AC4" si="8">T4</f>
        <v>Felhasználás összesen</v>
      </c>
      <c r="AD4" s="208" t="str">
        <f t="shared" ref="AD4:AE4" si="9">U4</f>
        <v>Upstream</v>
      </c>
      <c r="AE4" s="208" t="str">
        <f t="shared" si="9"/>
        <v>Gyártás</v>
      </c>
      <c r="AF4" s="208" t="str">
        <f t="shared" ref="AF4" si="10">W4</f>
        <v>Downstream</v>
      </c>
      <c r="AG4" s="208" t="str">
        <f t="shared" ref="AG4" si="11">X4</f>
        <v>Összes input</v>
      </c>
      <c r="AH4" s="208" t="str">
        <f t="shared" ref="AH4" si="12">Y4</f>
        <v>Végső fogyasztási kiadás összesen</v>
      </c>
      <c r="AI4" s="208" t="str">
        <f t="shared" ref="AI4" si="13">Z4</f>
        <v>Bruttó felhalmozás összesen</v>
      </c>
      <c r="AJ4" s="208" t="str">
        <f t="shared" ref="AJ4" si="14">AA4</f>
        <v>Export összesen</v>
      </c>
      <c r="AK4" s="208" t="str">
        <f t="shared" ref="AK4" si="15">AB4</f>
        <v>Végső felhasználás összesen</v>
      </c>
      <c r="AL4" s="208" t="str">
        <f t="shared" ref="AL4" si="16">AC4</f>
        <v>Felhasználás összesen</v>
      </c>
    </row>
    <row r="5" spans="2:38" x14ac:dyDescent="0.35">
      <c r="B5" t="str">
        <f>Variánsképzés!B5</f>
        <v>Upstream</v>
      </c>
      <c r="C5" s="180">
        <f>Variánsképzés!C5</f>
        <v>1694949.7547985173</v>
      </c>
      <c r="D5" s="181">
        <f>Variánsképzés!D5</f>
        <v>4006646.8575881529</v>
      </c>
      <c r="E5" s="181">
        <f>Variánsképzés!E5</f>
        <v>852938.49503588316</v>
      </c>
      <c r="F5" s="181">
        <f>Variánsképzés!F5</f>
        <v>6554535.107422553</v>
      </c>
      <c r="G5" s="181">
        <f>Variánsképzés!G5</f>
        <v>1268144.3877529805</v>
      </c>
      <c r="H5" s="181">
        <f>Variánsképzés!H5</f>
        <v>204283.63706611079</v>
      </c>
      <c r="I5" s="181">
        <f>Variánsképzés!I5</f>
        <v>2423287.3655908555</v>
      </c>
      <c r="J5" s="181">
        <f>Variánsképzés!J5</f>
        <v>3895715.3904099464</v>
      </c>
      <c r="K5" s="205">
        <f>Variánsképzés!K5</f>
        <v>10450250.497832499</v>
      </c>
      <c r="L5" s="180">
        <f>'Bázis modell AKM-ei'!AV26</f>
        <v>1588008.4421433031</v>
      </c>
      <c r="M5" s="181">
        <f>'Bázis modell AKM-ei'!AW26</f>
        <v>3938609.7081354572</v>
      </c>
      <c r="N5" s="181">
        <f>'Bázis modell AKM-ei'!AX26</f>
        <v>820564.56660762033</v>
      </c>
      <c r="O5" s="181">
        <f>'Bázis modell AKM-ei'!AY26</f>
        <v>6347182.7168863807</v>
      </c>
      <c r="P5" s="181">
        <f>'Bázis modell AKM-ei'!AZ26</f>
        <v>1271017.0251440955</v>
      </c>
      <c r="Q5" s="181">
        <f>'Bázis modell AKM-ei'!BA26</f>
        <v>540428.68920898729</v>
      </c>
      <c r="R5" s="181">
        <f>'Bázis modell AKM-ei'!BB26</f>
        <v>3009605.0386397331</v>
      </c>
      <c r="S5" s="181">
        <f>'Bázis modell AKM-ei'!BC26</f>
        <v>4821050.7529928163</v>
      </c>
      <c r="T5" s="205">
        <f>'Bázis modell AKM-ei'!BD26</f>
        <v>11168233.469879197</v>
      </c>
      <c r="U5" s="181">
        <f>'Bázis modell AKM-ei'!CO26</f>
        <v>1870196.4208642438</v>
      </c>
      <c r="V5" s="181">
        <f>'Bázis modell AKM-ei'!CP26</f>
        <v>5025045.3552816017</v>
      </c>
      <c r="W5" s="181">
        <f>'Bázis modell AKM-ei'!CQ26</f>
        <v>1002362.1823673052</v>
      </c>
      <c r="X5" s="181">
        <f>'Bázis modell AKM-ei'!CR26</f>
        <v>7897603.9585131509</v>
      </c>
      <c r="Y5" s="181">
        <f>'Bázis modell AKM-ei'!CS26</f>
        <v>1421288.0368963671</v>
      </c>
      <c r="Z5" s="181">
        <f>'Bázis modell AKM-ei'!CT26</f>
        <v>540863.41386451281</v>
      </c>
      <c r="AA5" s="181">
        <f>'Bázis modell AKM-ei'!CU26</f>
        <v>3734789.097996355</v>
      </c>
      <c r="AB5" s="181">
        <f>'Bázis modell AKM-ei'!CV26</f>
        <v>5696940.5487572346</v>
      </c>
      <c r="AC5" s="181">
        <f>'Bázis modell AKM-ei'!CW26</f>
        <v>13594544.507270385</v>
      </c>
      <c r="AD5" s="180">
        <f>Variánsképzés!AD5</f>
        <v>2751086.4959051469</v>
      </c>
      <c r="AE5" s="181">
        <f>Variánsképzés!AE5</f>
        <v>7439197.7291230271</v>
      </c>
      <c r="AF5" s="181">
        <f>Variánsképzés!AF5</f>
        <v>1423106.7063294116</v>
      </c>
      <c r="AG5" s="181">
        <f>Variánsképzés!AG5</f>
        <v>11613390.931357585</v>
      </c>
      <c r="AH5" s="181">
        <f>Variánsképzés!AH5</f>
        <v>2006114.3142615808</v>
      </c>
      <c r="AI5" s="181">
        <f>Variánsképzés!AI5</f>
        <v>885824.22256888309</v>
      </c>
      <c r="AJ5" s="181">
        <f>Variánsképzés!AJ5</f>
        <v>5492445.8428405616</v>
      </c>
      <c r="AK5" s="181">
        <f>Variánsképzés!AK5</f>
        <v>8384384.379671026</v>
      </c>
      <c r="AL5" s="181">
        <f>Variánsképzés!AL5</f>
        <v>19997775.311028611</v>
      </c>
    </row>
    <row r="6" spans="2:38" x14ac:dyDescent="0.35">
      <c r="B6" s="183" t="str">
        <f>Variánsképzés!B6</f>
        <v>Gyártás</v>
      </c>
      <c r="C6" s="5">
        <f>Variánsképzés!C6</f>
        <v>1609167.7899177175</v>
      </c>
      <c r="D6" s="6">
        <f>Variánsképzés!D6</f>
        <v>7421730.1121832924</v>
      </c>
      <c r="E6" s="6">
        <f>Variánsképzés!E6</f>
        <v>1890997.2824218238</v>
      </c>
      <c r="F6" s="6">
        <f>Variánsképzés!F6</f>
        <v>10921895.184522834</v>
      </c>
      <c r="G6" s="6">
        <f>Variánsképzés!G6</f>
        <v>6854965.3408725681</v>
      </c>
      <c r="H6" s="6">
        <f>Variánsképzés!H6</f>
        <v>4291287.5756717389</v>
      </c>
      <c r="I6" s="6">
        <f>Variánsképzés!I6</f>
        <v>20554712.767805077</v>
      </c>
      <c r="J6" s="6">
        <f>Variánsképzés!J6</f>
        <v>31700965.684349384</v>
      </c>
      <c r="K6" s="195">
        <f>Variánsképzés!K6</f>
        <v>42622860.868872218</v>
      </c>
      <c r="L6" s="5">
        <f>'Bázis modell AKM-ei'!AV27</f>
        <v>1497414.8836877337</v>
      </c>
      <c r="M6" s="6">
        <f>'Bázis modell AKM-ei'!AW27</f>
        <v>7522474.5387994116</v>
      </c>
      <c r="N6" s="6">
        <f>'Bázis modell AKM-ei'!AX27</f>
        <v>1876778.4645819748</v>
      </c>
      <c r="O6" s="6">
        <f>'Bázis modell AKM-ei'!AY27</f>
        <v>10896667.887069121</v>
      </c>
      <c r="P6" s="6">
        <f>'Bázis modell AKM-ei'!AZ27</f>
        <v>6417780.9764482193</v>
      </c>
      <c r="Q6" s="6">
        <f>'Bázis modell AKM-ei'!BA27</f>
        <v>4622464.921072186</v>
      </c>
      <c r="R6" s="6">
        <f>'Bázis modell AKM-ei'!BB27</f>
        <v>24351043.08176779</v>
      </c>
      <c r="S6" s="6">
        <f>'Bázis modell AKM-ei'!BC27</f>
        <v>35391288.979288191</v>
      </c>
      <c r="T6" s="195">
        <f>'Bázis modell AKM-ei'!BD27</f>
        <v>46287956.866357312</v>
      </c>
      <c r="U6" s="6">
        <f>'Bázis modell AKM-ei'!CO27</f>
        <v>1791642.7876611694</v>
      </c>
      <c r="V6" s="6">
        <f>'Bázis modell AKM-ei'!CP27</f>
        <v>9298300.0526508112</v>
      </c>
      <c r="W6" s="6">
        <f>'Bázis modell AKM-ei'!CQ27</f>
        <v>2228128.7289039511</v>
      </c>
      <c r="X6" s="6">
        <f>'Bázis modell AKM-ei'!CR27</f>
        <v>13318071.569215931</v>
      </c>
      <c r="Y6" s="6">
        <f>'Bázis modell AKM-ei'!CS27</f>
        <v>7558736.8719192529</v>
      </c>
      <c r="Z6" s="6">
        <f>'Bázis modell AKM-ei'!CT27</f>
        <v>6172804.3092279816</v>
      </c>
      <c r="AA6" s="6">
        <f>'Bázis modell AKM-ei'!CU27</f>
        <v>30411288.369799454</v>
      </c>
      <c r="AB6" s="6">
        <f>'Bázis modell AKM-ei'!CV27</f>
        <v>44142829.55094669</v>
      </c>
      <c r="AC6" s="6">
        <f>'Bázis modell AKM-ei'!CW27</f>
        <v>57460901.120162621</v>
      </c>
      <c r="AD6" s="5">
        <f>Variánsképzés!AD6</f>
        <v>2073086.3329623435</v>
      </c>
      <c r="AE6" s="6">
        <f>Variánsképzés!AE6</f>
        <v>10827759.777671264</v>
      </c>
      <c r="AF6" s="6">
        <f>Variánsképzés!AF6</f>
        <v>2488295.8193584858</v>
      </c>
      <c r="AG6" s="6">
        <f>Variánsképzés!AG6</f>
        <v>15389141.929992095</v>
      </c>
      <c r="AH6" s="6">
        <f>Variánsképzés!AH6</f>
        <v>8392121.1124493238</v>
      </c>
      <c r="AI6" s="6">
        <f>Variánsképzés!AI6</f>
        <v>7952275.09222697</v>
      </c>
      <c r="AJ6" s="6">
        <f>Variánsképzés!AJ6</f>
        <v>35178997.534716681</v>
      </c>
      <c r="AK6" s="6">
        <f>Variánsképzés!AK6</f>
        <v>51523393.739392973</v>
      </c>
      <c r="AL6" s="6">
        <f>Variánsképzés!AL6</f>
        <v>66912535.669385068</v>
      </c>
    </row>
    <row r="7" spans="2:38" x14ac:dyDescent="0.35">
      <c r="B7" s="183" t="str">
        <f>Variánsképzés!B7</f>
        <v>Downstream</v>
      </c>
      <c r="C7" s="5">
        <f>Variánsképzés!C7</f>
        <v>189403.03227638002</v>
      </c>
      <c r="D7" s="6">
        <f>Variánsképzés!D7</f>
        <v>540873.34413387789</v>
      </c>
      <c r="E7" s="6">
        <f>Variánsképzés!E7</f>
        <v>472367.80800744018</v>
      </c>
      <c r="F7" s="6">
        <f>Variánsképzés!F7</f>
        <v>1202644.1844176981</v>
      </c>
      <c r="G7" s="6">
        <f>Variánsképzés!G7</f>
        <v>9504845.4101691525</v>
      </c>
      <c r="H7" s="6">
        <f>Variánsképzés!H7</f>
        <v>72577.183682876159</v>
      </c>
      <c r="I7" s="6">
        <f>Variánsképzés!I7</f>
        <v>244377.43611359224</v>
      </c>
      <c r="J7" s="6">
        <f>Variánsképzés!J7</f>
        <v>9821800.0299656205</v>
      </c>
      <c r="K7" s="195">
        <f>Variánsképzés!K7</f>
        <v>11024444.214383319</v>
      </c>
      <c r="L7" s="5">
        <f>'Bázis modell AKM-ei'!AV28</f>
        <v>207601.25458751628</v>
      </c>
      <c r="M7" s="6">
        <f>'Bázis modell AKM-ei'!AW28</f>
        <v>547173.04467351921</v>
      </c>
      <c r="N7" s="6">
        <f>'Bázis modell AKM-ei'!AX28</f>
        <v>496603.57584231679</v>
      </c>
      <c r="O7" s="6">
        <f>'Bázis modell AKM-ei'!AY28</f>
        <v>1251377.8751033524</v>
      </c>
      <c r="P7" s="6">
        <f>'Bázis modell AKM-ei'!AZ28</f>
        <v>10479248.534205187</v>
      </c>
      <c r="Q7" s="6">
        <f>'Bázis modell AKM-ei'!BA28</f>
        <v>93792.747483034662</v>
      </c>
      <c r="R7" s="6">
        <f>'Bázis modell AKM-ei'!BB28</f>
        <v>303709.57088231953</v>
      </c>
      <c r="S7" s="6">
        <f>'Bázis modell AKM-ei'!BC28</f>
        <v>10876750.852570543</v>
      </c>
      <c r="T7" s="195">
        <f>'Bázis modell AKM-ei'!BD28</f>
        <v>12128128.727673896</v>
      </c>
      <c r="U7" s="6">
        <f>'Bázis modell AKM-ei'!CO28</f>
        <v>252481.8894266889</v>
      </c>
      <c r="V7" s="6">
        <f>'Bázis modell AKM-ei'!CP28</f>
        <v>708766.8965527144</v>
      </c>
      <c r="W7" s="6">
        <f>'Bázis modell AKM-ei'!CQ28</f>
        <v>541785.1012125311</v>
      </c>
      <c r="X7" s="6">
        <f>'Bázis modell AKM-ei'!CR28</f>
        <v>1503033.8871919345</v>
      </c>
      <c r="Y7" s="6">
        <f>'Bázis modell AKM-ei'!CS28</f>
        <v>12384241.207612639</v>
      </c>
      <c r="Z7" s="6">
        <f>'Bázis modell AKM-ei'!CT28</f>
        <v>119963.18406739256</v>
      </c>
      <c r="AA7" s="6">
        <f>'Bázis modell AKM-ei'!CU28</f>
        <v>401059.28059665678</v>
      </c>
      <c r="AB7" s="6">
        <f>'Bázis modell AKM-ei'!CV28</f>
        <v>12905263.672276689</v>
      </c>
      <c r="AC7" s="6">
        <f>'Bázis modell AKM-ei'!CW28</f>
        <v>14408297.559468623</v>
      </c>
      <c r="AD7" s="5">
        <f>Variánsképzés!AD7</f>
        <v>311269.1440703515</v>
      </c>
      <c r="AE7" s="6">
        <f>Variánsképzés!AE7</f>
        <v>879383.59147408546</v>
      </c>
      <c r="AF7" s="6">
        <f>Variánsképzés!AF7</f>
        <v>644656.94621954672</v>
      </c>
      <c r="AG7" s="6">
        <f>Variánsképzés!AG7</f>
        <v>1835309.6817639838</v>
      </c>
      <c r="AH7" s="6">
        <f>Variánsképzés!AH7</f>
        <v>14649803.338908775</v>
      </c>
      <c r="AI7" s="6">
        <f>Variánsképzés!AI7</f>
        <v>164663.27441637442</v>
      </c>
      <c r="AJ7" s="6">
        <f>Variánsképzés!AJ7</f>
        <v>494307.37225767254</v>
      </c>
      <c r="AK7" s="6">
        <f>Variánsképzés!AK7</f>
        <v>15308773.985582821</v>
      </c>
      <c r="AL7" s="6">
        <f>Variánsképzés!AL7</f>
        <v>17144083.667346805</v>
      </c>
    </row>
    <row r="8" spans="2:38" x14ac:dyDescent="0.35">
      <c r="B8" s="183" t="str">
        <f>Variánsképzés!B8</f>
        <v>Folyó termelőfelhasználás/ Végső felhasználás alapáron, hazai kibocsátásból</v>
      </c>
      <c r="C8" s="5">
        <f>Variánsképzés!C8</f>
        <v>3493520.5769926147</v>
      </c>
      <c r="D8" s="6">
        <f>Variánsképzés!D8</f>
        <v>11969250.313905323</v>
      </c>
      <c r="E8" s="6">
        <f>Variánsképzés!E8</f>
        <v>3216303.5854651472</v>
      </c>
      <c r="F8" s="6">
        <f>Variánsképzés!F8</f>
        <v>18679074.476363085</v>
      </c>
      <c r="G8" s="6">
        <f>Variánsképzés!G8</f>
        <v>17627955.138794702</v>
      </c>
      <c r="H8" s="6">
        <f>Variánsképzés!H8</f>
        <v>4568148.3964207256</v>
      </c>
      <c r="I8" s="6">
        <f>Variánsképzés!I8</f>
        <v>23222377.569509525</v>
      </c>
      <c r="J8" s="6">
        <f>Variánsképzés!J8</f>
        <v>45418481.104724951</v>
      </c>
      <c r="K8" s="195">
        <f>Variánsképzés!K8</f>
        <v>64097555.581088036</v>
      </c>
      <c r="L8" s="5">
        <f>'Bázis modell AKM-ei'!AV29</f>
        <v>3293024.5804185532</v>
      </c>
      <c r="M8" s="6">
        <f>'Bázis modell AKM-ei'!AW29</f>
        <v>12008257.291608388</v>
      </c>
      <c r="N8" s="6">
        <f>'Bázis modell AKM-ei'!AX29</f>
        <v>3193946.6070319121</v>
      </c>
      <c r="O8" s="6">
        <f>'Bázis modell AKM-ei'!AY29</f>
        <v>18495228.479058854</v>
      </c>
      <c r="P8" s="6">
        <f>'Bázis modell AKM-ei'!AZ29</f>
        <v>18168046.535797503</v>
      </c>
      <c r="Q8" s="6">
        <f>'Bázis modell AKM-ei'!BA29</f>
        <v>5256686.3577642078</v>
      </c>
      <c r="R8" s="6">
        <f>'Bázis modell AKM-ei'!BB29</f>
        <v>27664357.691289842</v>
      </c>
      <c r="S8" s="6">
        <f>'Bázis modell AKM-ei'!BC29</f>
        <v>51089090.584851548</v>
      </c>
      <c r="T8" s="195">
        <f>'Bázis modell AKM-ei'!BD29</f>
        <v>69584319.063910395</v>
      </c>
      <c r="U8" s="6">
        <f>'Bázis modell AKM-ei'!CO29</f>
        <v>3914321.0979521023</v>
      </c>
      <c r="V8" s="6">
        <f>'Bázis modell AKM-ei'!CP29</f>
        <v>15032112.304485125</v>
      </c>
      <c r="W8" s="6">
        <f>'Bázis modell AKM-ei'!CQ29</f>
        <v>3772276.0124837877</v>
      </c>
      <c r="X8" s="6">
        <f>'Bázis modell AKM-ei'!CR29</f>
        <v>22718709.414921016</v>
      </c>
      <c r="Y8" s="6">
        <f>'Bázis modell AKM-ei'!CS29</f>
        <v>21364266.11642826</v>
      </c>
      <c r="Z8" s="6">
        <f>'Bázis modell AKM-ei'!CT29</f>
        <v>6833630.9071598873</v>
      </c>
      <c r="AA8" s="6">
        <f>'Bázis modell AKM-ei'!CU29</f>
        <v>34547136.74839247</v>
      </c>
      <c r="AB8" s="6">
        <f>'Bázis modell AKM-ei'!CV29</f>
        <v>62745033.771980613</v>
      </c>
      <c r="AC8" s="6">
        <f>'Bázis modell AKM-ei'!CW29</f>
        <v>85463743.186901629</v>
      </c>
      <c r="AD8" s="5">
        <f>Variánsképzés!AD8</f>
        <v>5135441.9729378419</v>
      </c>
      <c r="AE8" s="6">
        <f>Variánsképzés!AE8</f>
        <v>19146341.098268379</v>
      </c>
      <c r="AF8" s="6">
        <f>Variánsképzés!AF8</f>
        <v>4556059.4719074443</v>
      </c>
      <c r="AG8" s="6">
        <f>Variánsképzés!AG8</f>
        <v>28837842.543113664</v>
      </c>
      <c r="AH8" s="6">
        <f>Variánsképzés!AH8</f>
        <v>25048038.76561968</v>
      </c>
      <c r="AI8" s="6">
        <f>Variánsképzés!AI8</f>
        <v>9002762.5892122276</v>
      </c>
      <c r="AJ8" s="6">
        <f>Variánsképzés!AJ8</f>
        <v>41165750.749814913</v>
      </c>
      <c r="AK8" s="6">
        <f>Variánsképzés!AK8</f>
        <v>75216552.104646832</v>
      </c>
      <c r="AL8" s="6">
        <f>Variánsképzés!AL8</f>
        <v>104054394.64776048</v>
      </c>
    </row>
    <row r="9" spans="2:38" x14ac:dyDescent="0.35">
      <c r="B9" s="183" t="str">
        <f>Variánsképzés!B9</f>
        <v>Importált termékek és szolgáltatások  felhasználása összesen, c.i.f.-en</v>
      </c>
      <c r="C9" s="5">
        <f>Variánsképzés!C9</f>
        <v>1427676.1837875915</v>
      </c>
      <c r="D9" s="6">
        <f>Variánsképzés!D9</f>
        <v>15439775.450909821</v>
      </c>
      <c r="E9" s="6">
        <f>Variánsképzés!E9</f>
        <v>741472.7708850879</v>
      </c>
      <c r="F9" s="6">
        <f>Variánsképzés!F9</f>
        <v>17608924.405582499</v>
      </c>
      <c r="G9" s="6">
        <f>Variánsképzés!G9</f>
        <v>2401057.4957582895</v>
      </c>
      <c r="H9" s="6">
        <f>Variánsképzés!H9</f>
        <v>2183349.5020262185</v>
      </c>
      <c r="I9" s="6">
        <f>Variánsképzés!I9</f>
        <v>2064092.5443449034</v>
      </c>
      <c r="J9" s="6">
        <f>Variánsképzés!J9</f>
        <v>6648499.5421294123</v>
      </c>
      <c r="K9" s="195">
        <f>Variánsképzés!K9</f>
        <v>24257423.947711911</v>
      </c>
      <c r="L9" s="5">
        <f>'Bázis modell AKM-ei'!AV30</f>
        <v>1838989.8187564497</v>
      </c>
      <c r="M9" s="6">
        <f>'Bázis modell AKM-ei'!AW30</f>
        <v>17420472.120090529</v>
      </c>
      <c r="N9" s="6">
        <f>'Bázis modell AKM-ei'!AX30</f>
        <v>1104268.3593680507</v>
      </c>
      <c r="O9" s="6">
        <f>'Bázis modell AKM-ei'!AY30</f>
        <v>20363730.298215032</v>
      </c>
      <c r="P9" s="6">
        <f>'Bázis modell AKM-ei'!AZ30</f>
        <v>2641632.2129087429</v>
      </c>
      <c r="Q9" s="6">
        <f>'Bázis modell AKM-ei'!BA30</f>
        <v>2308744.0917288829</v>
      </c>
      <c r="R9" s="6">
        <f>'Bázis modell AKM-ei'!BB30</f>
        <v>2626230.8557279753</v>
      </c>
      <c r="S9" s="6">
        <f>'Bázis modell AKM-ei'!BC30</f>
        <v>7576607.1603656011</v>
      </c>
      <c r="T9" s="195">
        <f>'Bázis modell AKM-ei'!BD30</f>
        <v>27940337.458580632</v>
      </c>
      <c r="U9" s="6">
        <f>'Bázis modell AKM-ei'!CO30</f>
        <v>2124185.4025476906</v>
      </c>
      <c r="V9" s="6">
        <f>'Bázis modell AKM-ei'!CP30</f>
        <v>21062921.548950847</v>
      </c>
      <c r="W9" s="6">
        <f>'Bázis modell AKM-ei'!CQ30</f>
        <v>1254941.4969563307</v>
      </c>
      <c r="X9" s="6">
        <f>'Bázis modell AKM-ei'!CR30</f>
        <v>24442048.448454868</v>
      </c>
      <c r="Y9" s="6">
        <f>'Bázis modell AKM-ei'!CS30</f>
        <v>2956102.9495999794</v>
      </c>
      <c r="Z9" s="6">
        <f>'Bázis modell AKM-ei'!CT30</f>
        <v>2838929.8930548378</v>
      </c>
      <c r="AA9" s="6">
        <f>'Bázis modell AKM-ei'!CU30</f>
        <v>3416663.5613841885</v>
      </c>
      <c r="AB9" s="6">
        <f>'Bázis modell AKM-ei'!CV30</f>
        <v>9211696.4040390048</v>
      </c>
      <c r="AC9" s="6">
        <f>'Bázis modell AKM-ei'!CW30</f>
        <v>33653744.852493875</v>
      </c>
      <c r="AD9" s="5">
        <f>Variánsképzés!AD9</f>
        <v>3261324.6812238195</v>
      </c>
      <c r="AE9" s="6">
        <f>Variánsképzés!AE9</f>
        <v>23712569.626111962</v>
      </c>
      <c r="AF9" s="6">
        <f>Variánsképzés!AF9</f>
        <v>1485257.7966077433</v>
      </c>
      <c r="AG9" s="6">
        <f>Variánsképzés!AG9</f>
        <v>28459152.103943527</v>
      </c>
      <c r="AH9" s="6">
        <f>Variánsképzés!AH9</f>
        <v>3465814.4058506028</v>
      </c>
      <c r="AI9" s="6">
        <f>Variánsképzés!AI9</f>
        <v>3740063.2521449081</v>
      </c>
      <c r="AJ9" s="6">
        <f>Variánsképzés!AJ9</f>
        <v>4071235.2397904904</v>
      </c>
      <c r="AK9" s="6">
        <f>Variánsképzés!AK9</f>
        <v>11277112.897786001</v>
      </c>
      <c r="AL9" s="6">
        <f>Variánsképzés!AL9</f>
        <v>39736265.001729526</v>
      </c>
    </row>
    <row r="10" spans="2:38" x14ac:dyDescent="0.35">
      <c r="B10" s="183" t="str">
        <f>Variánsképzés!B10</f>
        <v>Termékadók és támogatások egyenlege</v>
      </c>
      <c r="C10" s="5">
        <f>Variánsképzés!C10</f>
        <v>225114.97721156527</v>
      </c>
      <c r="D10" s="6">
        <f>Variánsképzés!D10</f>
        <v>545369.68115020753</v>
      </c>
      <c r="E10" s="6">
        <f>Variánsképzés!E10</f>
        <v>411850.30313261528</v>
      </c>
      <c r="F10" s="6">
        <f>Variánsképzés!F10</f>
        <v>1182334.9614943881</v>
      </c>
      <c r="G10" s="6">
        <f>Variánsképzés!G10</f>
        <v>2842846.8403458796</v>
      </c>
      <c r="H10" s="6">
        <f>Variánsképzés!H10</f>
        <v>461780.53894975019</v>
      </c>
      <c r="I10" s="6">
        <f>Variánsképzés!I10</f>
        <v>222761.62131372641</v>
      </c>
      <c r="J10" s="6">
        <f>Variánsképzés!J10</f>
        <v>3527389.0006093564</v>
      </c>
      <c r="K10" s="195">
        <f>Variánsképzés!K10</f>
        <v>4709723.962103745</v>
      </c>
      <c r="L10" s="5">
        <f>'Bázis modell AKM-ei'!AV31</f>
        <v>268868.49011685466</v>
      </c>
      <c r="M10" s="6">
        <f>'Bázis modell AKM-ei'!AW31</f>
        <v>538750.62958721374</v>
      </c>
      <c r="N10" s="6">
        <f>'Bázis modell AKM-ei'!AX31</f>
        <v>519402.67682907492</v>
      </c>
      <c r="O10" s="6">
        <f>'Bázis modell AKM-ei'!AY31</f>
        <v>1327021.7965331434</v>
      </c>
      <c r="P10" s="6">
        <f>'Bázis modell AKM-ei'!AZ31</f>
        <v>3240834.2512937556</v>
      </c>
      <c r="Q10" s="6">
        <f>'Bázis modell AKM-ei'!BA31</f>
        <v>542895.55050690915</v>
      </c>
      <c r="R10" s="6">
        <f>'Bázis modell AKM-ei'!BB31</f>
        <v>313221.45298218378</v>
      </c>
      <c r="S10" s="6">
        <f>'Bázis modell AKM-ei'!BC31</f>
        <v>4096951.2547828481</v>
      </c>
      <c r="T10" s="195">
        <f>'Bázis modell AKM-ei'!BD31</f>
        <v>5423973.0513159912</v>
      </c>
      <c r="U10" s="6">
        <f>'Bázis modell AKM-ei'!CO31</f>
        <v>305276.7766823555</v>
      </c>
      <c r="V10" s="6">
        <f>'Bázis modell AKM-ei'!CP31</f>
        <v>674782.05634439923</v>
      </c>
      <c r="W10" s="6">
        <f>'Bázis modell AKM-ei'!CQ31</f>
        <v>599267.65726854082</v>
      </c>
      <c r="X10" s="6">
        <f>'Bázis modell AKM-ei'!CR31</f>
        <v>1579326.4902952956</v>
      </c>
      <c r="Y10" s="6">
        <f>'Bázis modell AKM-ei'!CS31</f>
        <v>3570990.3481343952</v>
      </c>
      <c r="Z10" s="6">
        <f>'Bázis modell AKM-ei'!CT31</f>
        <v>664670.99041454343</v>
      </c>
      <c r="AA10" s="6">
        <f>'Bázis modell AKM-ei'!CU31</f>
        <v>400167.46159423562</v>
      </c>
      <c r="AB10" s="6">
        <f>'Bázis modell AKM-ei'!CV31</f>
        <v>4635828.8001431748</v>
      </c>
      <c r="AC10" s="6">
        <f>'Bázis modell AKM-ei'!CW31</f>
        <v>6215155.2904384704</v>
      </c>
      <c r="AD10" s="5">
        <f>Variánsképzés!AD10</f>
        <v>468700.46522517025</v>
      </c>
      <c r="AE10" s="6">
        <f>Variánsképzés!AE10</f>
        <v>759667.47805289982</v>
      </c>
      <c r="AF10" s="6">
        <f>Variánsképzés!AF10</f>
        <v>709249.76373136032</v>
      </c>
      <c r="AG10" s="6">
        <f>Variánsképzés!AG10</f>
        <v>1937617.7070094305</v>
      </c>
      <c r="AH10" s="6">
        <f>Variánsképzés!AH10</f>
        <v>4186724.8883846961</v>
      </c>
      <c r="AI10" s="6">
        <f>Variánsképzés!AI10</f>
        <v>875650.91061168211</v>
      </c>
      <c r="AJ10" s="6">
        <f>Variánsképzés!AJ10</f>
        <v>476832.39575392497</v>
      </c>
      <c r="AK10" s="6">
        <f>Variánsképzés!AK10</f>
        <v>5539208.1947503025</v>
      </c>
      <c r="AL10" s="6">
        <f>Variánsképzés!AL10</f>
        <v>7476825.9017597325</v>
      </c>
    </row>
    <row r="11" spans="2:38" x14ac:dyDescent="0.35">
      <c r="B11" s="183" t="str">
        <f>Variánsképzés!B11</f>
        <v>Folyó termelőfelhasználás / Végső felhasználás piaci beszerzési áron</v>
      </c>
      <c r="C11" s="5">
        <f>Variánsképzés!C11</f>
        <v>5146311.7379917717</v>
      </c>
      <c r="D11" s="6">
        <f>Variánsképzés!D11</f>
        <v>27954395.445965353</v>
      </c>
      <c r="E11" s="6">
        <f>Variánsképzés!E11</f>
        <v>4369626.6594828507</v>
      </c>
      <c r="F11" s="6">
        <f>Variánsképzés!F11</f>
        <v>37470333.843439974</v>
      </c>
      <c r="G11" s="6">
        <f>Variánsképzés!G11</f>
        <v>22871859.474898871</v>
      </c>
      <c r="H11" s="6">
        <f>Variánsképzés!H11</f>
        <v>7213278.437396694</v>
      </c>
      <c r="I11" s="6">
        <f>Variánsképzés!I11</f>
        <v>25509231.735168155</v>
      </c>
      <c r="J11" s="6">
        <f>Variánsképzés!J11</f>
        <v>55594369.647463724</v>
      </c>
      <c r="K11" s="195">
        <f>Variánsképzés!K11</f>
        <v>93064703.490903705</v>
      </c>
      <c r="L11" s="5">
        <f>'Bázis modell AKM-ei'!AV32</f>
        <v>5400882.8892918583</v>
      </c>
      <c r="M11" s="6">
        <f>'Bázis modell AKM-ei'!AW32</f>
        <v>29967480.04128613</v>
      </c>
      <c r="N11" s="6">
        <f>'Bázis modell AKM-ei'!AX32</f>
        <v>4817617.6432290375</v>
      </c>
      <c r="O11" s="6">
        <f>'Bázis modell AKM-ei'!AY32</f>
        <v>40185980.573807023</v>
      </c>
      <c r="P11" s="6">
        <f>'Bázis modell AKM-ei'!AZ32</f>
        <v>24050513</v>
      </c>
      <c r="Q11" s="6">
        <f>'Bázis modell AKM-ei'!BA32</f>
        <v>8108326</v>
      </c>
      <c r="R11" s="6">
        <f>'Bázis modell AKM-ei'!BB32</f>
        <v>30603810</v>
      </c>
      <c r="S11" s="6">
        <f>'Bázis modell AKM-ei'!BC32</f>
        <v>62762649</v>
      </c>
      <c r="T11" s="195">
        <f>'Bázis modell AKM-ei'!BD32</f>
        <v>102948629.57380703</v>
      </c>
      <c r="U11" s="6">
        <f>'Bázis modell AKM-ei'!CO32</f>
        <v>6343783.2771821478</v>
      </c>
      <c r="V11" s="6">
        <f>'Bázis modell AKM-ei'!CP32</f>
        <v>36769815.909780368</v>
      </c>
      <c r="W11" s="6">
        <f>'Bázis modell AKM-ei'!CQ32</f>
        <v>5626485.1667086594</v>
      </c>
      <c r="X11" s="6">
        <f>'Bázis modell AKM-ei'!CR32</f>
        <v>48740084.353671178</v>
      </c>
      <c r="Y11" s="6">
        <f>'Bázis modell AKM-ei'!CS32</f>
        <v>27891359.414162636</v>
      </c>
      <c r="Z11" s="6">
        <f>'Bázis modell AKM-ei'!CT32</f>
        <v>10337231.790629268</v>
      </c>
      <c r="AA11" s="6">
        <f>'Bázis modell AKM-ei'!CU32</f>
        <v>38363967.771370888</v>
      </c>
      <c r="AB11" s="6">
        <f>'Bázis modell AKM-ei'!CV32</f>
        <v>76592558.976162791</v>
      </c>
      <c r="AC11" s="6">
        <f>'Bázis modell AKM-ei'!CW32</f>
        <v>125332643.32983397</v>
      </c>
      <c r="AD11" s="5">
        <f>Variánsképzés!AD11</f>
        <v>8865467.1193868313</v>
      </c>
      <c r="AE11" s="6">
        <f>Variánsképzés!AE11</f>
        <v>43618578.202433243</v>
      </c>
      <c r="AF11" s="6">
        <f>Variánsképzés!AF11</f>
        <v>6750567.0322465478</v>
      </c>
      <c r="AG11" s="6">
        <f>Variánsképzés!AG11</f>
        <v>59234612.354066618</v>
      </c>
      <c r="AH11" s="6">
        <f>Variánsképzés!AH11</f>
        <v>32700578.059854981</v>
      </c>
      <c r="AI11" s="6">
        <f>Variánsképzés!AI11</f>
        <v>13618476.751968818</v>
      </c>
      <c r="AJ11" s="6">
        <f>Variánsképzés!AJ11</f>
        <v>45713818.385359332</v>
      </c>
      <c r="AK11" s="6">
        <f>Variánsképzés!AK11</f>
        <v>92032873.197183147</v>
      </c>
      <c r="AL11" s="6">
        <f>Variánsképzés!AL11</f>
        <v>151267485.55124977</v>
      </c>
    </row>
    <row r="12" spans="2:38" x14ac:dyDescent="0.35">
      <c r="B12" s="183" t="str">
        <f>Variánsképzés!B12</f>
        <v>Munkavállalói jövedelem</v>
      </c>
      <c r="C12" s="5">
        <f>Variánsképzés!C12</f>
        <v>2721940.1269588708</v>
      </c>
      <c r="D12" s="6">
        <f>Variánsképzés!D12</f>
        <v>6276472.3694509696</v>
      </c>
      <c r="E12" s="6">
        <f>Variánsképzés!E12</f>
        <v>4752827.6301827068</v>
      </c>
      <c r="F12" s="6">
        <f>Variánsképzés!F12</f>
        <v>13751240.126592547</v>
      </c>
      <c r="G12" s="6"/>
      <c r="H12" s="6"/>
      <c r="I12" s="6"/>
      <c r="J12" s="6"/>
      <c r="K12" s="195"/>
      <c r="L12" s="5">
        <f>'Bázis modell AKM-ei'!AV33</f>
        <v>2751141.506759956</v>
      </c>
      <c r="M12" s="6">
        <f>'Bázis modell AKM-ei'!AW33</f>
        <v>6687143.1556444662</v>
      </c>
      <c r="N12" s="6">
        <f>'Bázis modell AKM-ei'!AX33</f>
        <v>5155303.7608018816</v>
      </c>
      <c r="O12" s="6">
        <f>'Bázis modell AKM-ei'!AY33</f>
        <v>14593588.423206303</v>
      </c>
      <c r="P12" s="6"/>
      <c r="Q12" s="6"/>
      <c r="R12" s="6"/>
      <c r="S12" s="6"/>
      <c r="T12" s="195"/>
      <c r="U12" s="6">
        <f>'Bázis modell AKM-ei'!CO33</f>
        <v>2984889.946322171</v>
      </c>
      <c r="V12" s="6">
        <f>'Bázis modell AKM-ei'!CP33</f>
        <v>7462202.9967445722</v>
      </c>
      <c r="W12" s="6">
        <f>'Bázis modell AKM-ei'!CQ33</f>
        <v>5215727.1633589659</v>
      </c>
      <c r="X12" s="6">
        <f>'Bázis modell AKM-ei'!CR33</f>
        <v>15662820.106425708</v>
      </c>
      <c r="Y12" s="6">
        <f>'Bázis modell AKM-ei'!CS33</f>
        <v>0</v>
      </c>
      <c r="Z12" s="6">
        <f>'Bázis modell AKM-ei'!CT33</f>
        <v>0</v>
      </c>
      <c r="AA12" s="6">
        <f>'Bázis modell AKM-ei'!CU33</f>
        <v>0</v>
      </c>
      <c r="AB12" s="6">
        <f>'Bázis modell AKM-ei'!CV33</f>
        <v>0</v>
      </c>
      <c r="AC12" s="6">
        <f>'Bázis modell AKM-ei'!CW33</f>
        <v>0</v>
      </c>
      <c r="AD12" s="5">
        <f>Variánsképzés!AD12</f>
        <v>4582789.8266327456</v>
      </c>
      <c r="AE12" s="6">
        <f>Variánsképzés!AE12</f>
        <v>8400924.2361395415</v>
      </c>
      <c r="AF12" s="6">
        <f>Variánsképzés!AF12</f>
        <v>6172956.6303657433</v>
      </c>
      <c r="AG12" s="6">
        <f>Variánsképzés!AG12</f>
        <v>19156670.693138029</v>
      </c>
      <c r="AH12" s="6">
        <f>Variánsképzés!AH12</f>
        <v>0</v>
      </c>
      <c r="AI12" s="6">
        <f>Variánsképzés!AI12</f>
        <v>0</v>
      </c>
      <c r="AJ12" s="6">
        <f>Variánsképzés!AJ12</f>
        <v>0</v>
      </c>
      <c r="AK12" s="6">
        <f>Variánsképzés!AK12</f>
        <v>0</v>
      </c>
      <c r="AL12" s="6">
        <f>Variánsképzés!AL12</f>
        <v>0</v>
      </c>
    </row>
    <row r="13" spans="2:38" x14ac:dyDescent="0.35">
      <c r="B13" s="183" t="str">
        <f>Variánsképzés!B13</f>
        <v>Egyéb termelési adók és támogatások egyenlege</v>
      </c>
      <c r="C13" s="5">
        <f>Variánsképzés!C13</f>
        <v>-194953.82847399425</v>
      </c>
      <c r="D13" s="6">
        <f>Variánsképzés!D13</f>
        <v>155320.09181526583</v>
      </c>
      <c r="E13" s="6">
        <f>Variánsképzés!E13</f>
        <v>36660.544874449224</v>
      </c>
      <c r="F13" s="6">
        <f>Variánsképzés!F13</f>
        <v>-2973.1917842791954</v>
      </c>
      <c r="G13" s="6"/>
      <c r="H13" s="6"/>
      <c r="I13" s="6"/>
      <c r="J13" s="6"/>
      <c r="K13" s="195"/>
      <c r="L13" s="5">
        <f>'Bázis modell AKM-ei'!AV34</f>
        <v>-267105.18573546939</v>
      </c>
      <c r="M13" s="6">
        <f>'Bázis modell AKM-ei'!AW34</f>
        <v>199131.7012974114</v>
      </c>
      <c r="N13" s="6">
        <f>'Bázis modell AKM-ei'!AX34</f>
        <v>-4318.8580390428206</v>
      </c>
      <c r="O13" s="6">
        <f>'Bázis modell AKM-ei'!AY34</f>
        <v>-72292.342477100814</v>
      </c>
      <c r="P13" s="6"/>
      <c r="Q13" s="6"/>
      <c r="R13" s="6"/>
      <c r="S13" s="6"/>
      <c r="T13" s="195"/>
      <c r="U13" s="6">
        <f>'Bázis modell AKM-ei'!CO34</f>
        <v>189453.35635192576</v>
      </c>
      <c r="V13" s="6">
        <f>'Bázis modell AKM-ei'!CP34</f>
        <v>1449455.3381608885</v>
      </c>
      <c r="W13" s="6">
        <f>'Bázis modell AKM-ei'!CQ34</f>
        <v>812731.16766957927</v>
      </c>
      <c r="X13" s="6">
        <f>'Bázis modell AKM-ei'!CR34</f>
        <v>2451639.8621823937</v>
      </c>
      <c r="Y13" s="6">
        <f>'Bázis modell AKM-ei'!CS34</f>
        <v>0</v>
      </c>
      <c r="Z13" s="6">
        <f>'Bázis modell AKM-ei'!CT34</f>
        <v>0</v>
      </c>
      <c r="AA13" s="6">
        <f>'Bázis modell AKM-ei'!CU34</f>
        <v>0</v>
      </c>
      <c r="AB13" s="6">
        <f>'Bázis modell AKM-ei'!CV34</f>
        <v>0</v>
      </c>
      <c r="AC13" s="6">
        <f>'Bázis modell AKM-ei'!CW34</f>
        <v>0</v>
      </c>
      <c r="AD13" s="5">
        <f>Variánsképzés!AD13</f>
        <v>290873.34197390289</v>
      </c>
      <c r="AE13" s="6">
        <f>Variánsképzés!AE13</f>
        <v>1631792.1778420962</v>
      </c>
      <c r="AF13" s="6">
        <f>Variánsképzés!AF13</f>
        <v>961889.70263158227</v>
      </c>
      <c r="AG13" s="6">
        <f>Variánsképzés!AG13</f>
        <v>2884555.2224475816</v>
      </c>
      <c r="AH13" s="6">
        <f>Variánsképzés!AH13</f>
        <v>0</v>
      </c>
      <c r="AI13" s="6">
        <f>Variánsképzés!AI13</f>
        <v>0</v>
      </c>
      <c r="AJ13" s="6">
        <f>Variánsképzés!AJ13</f>
        <v>0</v>
      </c>
      <c r="AK13" s="6">
        <f>Variánsképzés!AK13</f>
        <v>0</v>
      </c>
      <c r="AL13" s="6">
        <f>Variánsképzés!AL13</f>
        <v>0</v>
      </c>
    </row>
    <row r="14" spans="2:38" x14ac:dyDescent="0.35">
      <c r="B14" s="183" t="str">
        <f>Variánsképzés!B14</f>
        <v>Állóeszközfelhasználás</v>
      </c>
      <c r="C14" s="5">
        <f>Variánsképzés!C14</f>
        <v>936332.40919441439</v>
      </c>
      <c r="D14" s="6">
        <f>Variánsképzés!D14</f>
        <v>3487331.6965584722</v>
      </c>
      <c r="E14" s="6">
        <f>Variánsképzés!E14</f>
        <v>1248134.7518493284</v>
      </c>
      <c r="F14" s="6">
        <f>Variánsképzés!F14</f>
        <v>5671798.8576022144</v>
      </c>
      <c r="G14" s="6"/>
      <c r="H14" s="6"/>
      <c r="I14" s="6"/>
      <c r="J14" s="6"/>
      <c r="K14" s="195"/>
      <c r="L14" s="5">
        <f>'Bázis modell AKM-ei'!AV35</f>
        <v>841723.77242162102</v>
      </c>
      <c r="M14" s="6">
        <f>'Bázis modell AKM-ei'!AW35</f>
        <v>3718276.4392337687</v>
      </c>
      <c r="N14" s="6">
        <f>'Bázis modell AKM-ei'!AX35</f>
        <v>1245034.9544142704</v>
      </c>
      <c r="O14" s="6">
        <f>'Bázis modell AKM-ei'!AY35</f>
        <v>5805035.1660696603</v>
      </c>
      <c r="P14" s="6"/>
      <c r="Q14" s="6"/>
      <c r="R14" s="6"/>
      <c r="S14" s="6"/>
      <c r="T14" s="195"/>
      <c r="U14" s="6">
        <f>'Bázis modell AKM-ei'!CO35</f>
        <v>1106746.4916375452</v>
      </c>
      <c r="V14" s="6">
        <f>'Bázis modell AKM-ei'!CP35</f>
        <v>4919140.2156383311</v>
      </c>
      <c r="W14" s="6">
        <f>'Bázis modell AKM-ei'!CQ35</f>
        <v>1534568.0373740275</v>
      </c>
      <c r="X14" s="6">
        <f>'Bázis modell AKM-ei'!CR35</f>
        <v>7560454.7446499038</v>
      </c>
      <c r="Y14" s="6">
        <f>'Bázis modell AKM-ei'!CS35</f>
        <v>0</v>
      </c>
      <c r="Z14" s="6">
        <f>'Bázis modell AKM-ei'!CT35</f>
        <v>0</v>
      </c>
      <c r="AA14" s="6">
        <f>'Bázis modell AKM-ei'!CU35</f>
        <v>0</v>
      </c>
      <c r="AB14" s="6">
        <f>'Bázis modell AKM-ei'!CV35</f>
        <v>0</v>
      </c>
      <c r="AC14" s="6">
        <f>'Bázis modell AKM-ei'!CW35</f>
        <v>0</v>
      </c>
      <c r="AD14" s="5">
        <f>Variánsképzés!AD14</f>
        <v>1699220.6258014527</v>
      </c>
      <c r="AE14" s="6">
        <f>Variánsképzés!AE14</f>
        <v>5537952.301291341</v>
      </c>
      <c r="AF14" s="6">
        <f>Variánsképzés!AF14</f>
        <v>1816203.5022849592</v>
      </c>
      <c r="AG14" s="6">
        <f>Variánsképzés!AG14</f>
        <v>9053376.4293777533</v>
      </c>
      <c r="AH14" s="6">
        <f>Variánsképzés!AH14</f>
        <v>0</v>
      </c>
      <c r="AI14" s="6">
        <f>Variánsképzés!AI14</f>
        <v>0</v>
      </c>
      <c r="AJ14" s="6">
        <f>Variánsképzés!AJ14</f>
        <v>0</v>
      </c>
      <c r="AK14" s="6">
        <f>Variánsképzés!AK14</f>
        <v>0</v>
      </c>
      <c r="AL14" s="6">
        <f>Variánsképzés!AL14</f>
        <v>0</v>
      </c>
    </row>
    <row r="15" spans="2:38" x14ac:dyDescent="0.35">
      <c r="B15" s="183" t="str">
        <f>Variánsképzés!B15</f>
        <v>Nettó működési eredmény</v>
      </c>
      <c r="C15" s="5">
        <f>Variánsképzés!C15</f>
        <v>1840620.0521614365</v>
      </c>
      <c r="D15" s="6">
        <f>Variánsképzés!D15</f>
        <v>4749341.2650821591</v>
      </c>
      <c r="E15" s="6">
        <f>Variánsképzés!E15</f>
        <v>617194.62799398438</v>
      </c>
      <c r="F15" s="6">
        <f>Variánsképzés!F15</f>
        <v>7207155.9452375798</v>
      </c>
      <c r="G15" s="6"/>
      <c r="H15" s="6"/>
      <c r="I15" s="6"/>
      <c r="J15" s="6"/>
      <c r="K15" s="195"/>
      <c r="L15" s="5">
        <f>'Bázis modell AKM-ei'!AV36</f>
        <v>2441590.487141232</v>
      </c>
      <c r="M15" s="6">
        <f>'Bázis modell AKM-ei'!AW36</f>
        <v>5715925.5288955318</v>
      </c>
      <c r="N15" s="6">
        <f>'Bázis modell AKM-ei'!AX36</f>
        <v>914491.22726774844</v>
      </c>
      <c r="O15" s="6">
        <f>'Bázis modell AKM-ei'!AY36</f>
        <v>9072007.2433045115</v>
      </c>
      <c r="P15" s="6"/>
      <c r="Q15" s="6"/>
      <c r="R15" s="6"/>
      <c r="S15" s="6"/>
      <c r="T15" s="195"/>
      <c r="U15" s="6">
        <f>'Bázis modell AKM-ei'!CO36</f>
        <v>2969671.4357765941</v>
      </c>
      <c r="V15" s="6">
        <f>'Bázis modell AKM-ei'!CP36</f>
        <v>6860286.6598384455</v>
      </c>
      <c r="W15" s="6">
        <f>'Bázis modell AKM-ei'!CQ36</f>
        <v>1218786.0243573927</v>
      </c>
      <c r="X15" s="6">
        <f>'Bázis modell AKM-ei'!CR36</f>
        <v>11048744.119972434</v>
      </c>
      <c r="Y15" s="6">
        <f>'Bázis modell AKM-ei'!CS36</f>
        <v>0</v>
      </c>
      <c r="Z15" s="6">
        <f>'Bázis modell AKM-ei'!CT36</f>
        <v>0</v>
      </c>
      <c r="AA15" s="6">
        <f>'Bázis modell AKM-ei'!CU36</f>
        <v>0</v>
      </c>
      <c r="AB15" s="6">
        <f>'Bázis modell AKM-ei'!CV36</f>
        <v>0</v>
      </c>
      <c r="AC15" s="6">
        <f>'Bázis modell AKM-ei'!CW36</f>
        <v>0</v>
      </c>
      <c r="AD15" s="5">
        <f>Variánsképzés!AD15</f>
        <v>4559424.397233679</v>
      </c>
      <c r="AE15" s="6">
        <f>Variánsképzés!AE15</f>
        <v>7723288.7516788524</v>
      </c>
      <c r="AF15" s="6">
        <f>Variánsképzés!AF15</f>
        <v>1442466.799817971</v>
      </c>
      <c r="AG15" s="6">
        <f>Variánsképzés!AG15</f>
        <v>13725179.948730502</v>
      </c>
      <c r="AH15" s="6">
        <f>Variánsképzés!AH15</f>
        <v>0</v>
      </c>
      <c r="AI15" s="6">
        <f>Variánsképzés!AI15</f>
        <v>0</v>
      </c>
      <c r="AJ15" s="6">
        <f>Variánsképzés!AJ15</f>
        <v>0</v>
      </c>
      <c r="AK15" s="6">
        <f>Variánsképzés!AK15</f>
        <v>0</v>
      </c>
      <c r="AL15" s="6">
        <f>Variánsképzés!AL15</f>
        <v>0</v>
      </c>
    </row>
    <row r="16" spans="2:38" x14ac:dyDescent="0.35">
      <c r="B16" s="183" t="str">
        <f>Variánsképzés!B16</f>
        <v>Bruttó hozzáadott érték alapáron</v>
      </c>
      <c r="C16" s="5">
        <f>Variánsképzés!C16</f>
        <v>5303938.7598407278</v>
      </c>
      <c r="D16" s="6">
        <f>Variánsképzés!D16</f>
        <v>14668465.422906868</v>
      </c>
      <c r="E16" s="6">
        <f>Variánsképzés!E16</f>
        <v>6654817.5549004683</v>
      </c>
      <c r="F16" s="6">
        <f>Variánsképzés!F16</f>
        <v>26627221.737648062</v>
      </c>
      <c r="G16" s="6"/>
      <c r="H16" s="6"/>
      <c r="I16" s="6"/>
      <c r="J16" s="6"/>
      <c r="K16" s="195"/>
      <c r="L16" s="5">
        <f>'Bázis modell AKM-ei'!AV37</f>
        <v>5767350.5805873396</v>
      </c>
      <c r="M16" s="6">
        <f>'Bázis modell AKM-ei'!AW37</f>
        <v>16320476.825071178</v>
      </c>
      <c r="N16" s="6">
        <f>'Bázis modell AKM-ei'!AX37</f>
        <v>7310511.0844448572</v>
      </c>
      <c r="O16" s="6">
        <f>'Bázis modell AKM-ei'!AY37</f>
        <v>29398338.490103375</v>
      </c>
      <c r="P16" s="6"/>
      <c r="Q16" s="6"/>
      <c r="R16" s="6"/>
      <c r="S16" s="6"/>
      <c r="T16" s="195"/>
      <c r="U16" s="6">
        <f>'Bázis modell AKM-ei'!CO37</f>
        <v>7250761.2300882367</v>
      </c>
      <c r="V16" s="6">
        <f>'Bázis modell AKM-ei'!CP37</f>
        <v>20691085.210382238</v>
      </c>
      <c r="W16" s="6">
        <f>'Bázis modell AKM-ei'!CQ37</f>
        <v>8781812.3927599657</v>
      </c>
      <c r="X16" s="6">
        <f>'Bázis modell AKM-ei'!CR37</f>
        <v>36723658.833230443</v>
      </c>
      <c r="Y16" s="6">
        <f>'Bázis modell AKM-ei'!CS37</f>
        <v>0</v>
      </c>
      <c r="Z16" s="6">
        <f>'Bázis modell AKM-ei'!CT37</f>
        <v>0</v>
      </c>
      <c r="AA16" s="6">
        <f>'Bázis modell AKM-ei'!CU37</f>
        <v>0</v>
      </c>
      <c r="AB16" s="6">
        <f>'Bázis modell AKM-ei'!CV37</f>
        <v>0</v>
      </c>
      <c r="AC16" s="6">
        <f>'Bázis modell AKM-ei'!CW37</f>
        <v>0</v>
      </c>
      <c r="AD16" s="5">
        <f>Variánsképzés!AD16</f>
        <v>11132308.19164178</v>
      </c>
      <c r="AE16" s="6">
        <f>Variánsképzés!AE16</f>
        <v>23293957.466951832</v>
      </c>
      <c r="AF16" s="6">
        <f>Variánsképzés!AF16</f>
        <v>10393516.635100257</v>
      </c>
      <c r="AG16" s="6">
        <f>Variánsképzés!AG16</f>
        <v>44819782.29369387</v>
      </c>
      <c r="AH16" s="6">
        <f>Variánsképzés!AH16</f>
        <v>0</v>
      </c>
      <c r="AI16" s="6">
        <f>Variánsképzés!AI16</f>
        <v>0</v>
      </c>
      <c r="AJ16" s="6">
        <f>Variánsképzés!AJ16</f>
        <v>0</v>
      </c>
      <c r="AK16" s="6">
        <f>Variánsképzés!AK16</f>
        <v>0</v>
      </c>
      <c r="AL16" s="6">
        <f>Variánsképzés!AL16</f>
        <v>0</v>
      </c>
    </row>
    <row r="17" spans="2:38" x14ac:dyDescent="0.35">
      <c r="B17" s="183" t="str">
        <f>Variánsképzés!B17</f>
        <v>Kibocsátás alapáron</v>
      </c>
      <c r="C17" s="5">
        <f>Variánsképzés!C17</f>
        <v>10450250.497832499</v>
      </c>
      <c r="D17" s="6">
        <f>Variánsképzés!D17</f>
        <v>42622860.868872218</v>
      </c>
      <c r="E17" s="6">
        <f>Variánsképzés!E17</f>
        <v>11024444.214383319</v>
      </c>
      <c r="F17" s="6">
        <f>Variánsképzés!F17</f>
        <v>64097555.581088036</v>
      </c>
      <c r="G17" s="6"/>
      <c r="H17" s="6"/>
      <c r="I17" s="6"/>
      <c r="J17" s="6"/>
      <c r="K17" s="195"/>
      <c r="L17" s="5">
        <f>'Bázis modell AKM-ei'!AV38</f>
        <v>11168233.469879197</v>
      </c>
      <c r="M17" s="6">
        <f>'Bázis modell AKM-ei'!AW38</f>
        <v>46287956.866357312</v>
      </c>
      <c r="N17" s="6">
        <f>'Bázis modell AKM-ei'!AX38</f>
        <v>12128128.727673896</v>
      </c>
      <c r="O17" s="6">
        <f>'Bázis modell AKM-ei'!AY38</f>
        <v>69584319.063910395</v>
      </c>
      <c r="P17" s="6"/>
      <c r="Q17" s="6"/>
      <c r="R17" s="6"/>
      <c r="S17" s="6"/>
      <c r="T17" s="195"/>
      <c r="U17" s="6">
        <f>'Bázis modell AKM-ei'!CO38</f>
        <v>13594544.507270385</v>
      </c>
      <c r="V17" s="6">
        <f>'Bázis modell AKM-ei'!CP38</f>
        <v>57460901.120162621</v>
      </c>
      <c r="W17" s="6">
        <f>'Bázis modell AKM-ei'!CQ38</f>
        <v>14408297.559468623</v>
      </c>
      <c r="X17" s="6">
        <f>'Bázis modell AKM-ei'!CR38</f>
        <v>85463743.186901629</v>
      </c>
      <c r="Y17" s="6">
        <f>'Bázis modell AKM-ei'!CS38</f>
        <v>0</v>
      </c>
      <c r="Z17" s="6">
        <f>'Bázis modell AKM-ei'!CT38</f>
        <v>0</v>
      </c>
      <c r="AA17" s="6">
        <f>'Bázis modell AKM-ei'!CU38</f>
        <v>0</v>
      </c>
      <c r="AB17" s="6">
        <f>'Bázis modell AKM-ei'!CV38</f>
        <v>0</v>
      </c>
      <c r="AC17" s="6">
        <f>'Bázis modell AKM-ei'!CW38</f>
        <v>0</v>
      </c>
      <c r="AD17" s="5">
        <f>Variánsképzés!AD17</f>
        <v>19997775.311028611</v>
      </c>
      <c r="AE17" s="6">
        <f>Variánsképzés!AE17</f>
        <v>66912535.669385068</v>
      </c>
      <c r="AF17" s="6">
        <f>Variánsképzés!AF17</f>
        <v>17144083.667346805</v>
      </c>
      <c r="AG17" s="6">
        <f>Variánsképzés!AG17</f>
        <v>104054394.64776048</v>
      </c>
      <c r="AH17" s="6">
        <f>Variánsképzés!AH17</f>
        <v>0</v>
      </c>
      <c r="AI17" s="6">
        <f>Variánsképzés!AI17</f>
        <v>0</v>
      </c>
      <c r="AJ17" s="6">
        <f>Variánsképzés!AJ17</f>
        <v>0</v>
      </c>
      <c r="AK17" s="6">
        <f>Variánsképzés!AK17</f>
        <v>0</v>
      </c>
      <c r="AL17" s="6">
        <f>Variánsképzés!AL17</f>
        <v>0</v>
      </c>
    </row>
    <row r="18" spans="2:38" x14ac:dyDescent="0.35">
      <c r="C18" s="5"/>
      <c r="D18" s="3"/>
      <c r="E18" s="3"/>
      <c r="F18" s="3"/>
      <c r="K18" s="47"/>
      <c r="L18" s="10"/>
      <c r="M18" s="6"/>
      <c r="N18" s="6"/>
      <c r="O18" s="6"/>
      <c r="P18" s="6"/>
      <c r="Q18" s="11"/>
      <c r="R18" s="11"/>
      <c r="S18" s="11"/>
      <c r="T18" s="47"/>
      <c r="U18" s="11"/>
      <c r="V18" s="6"/>
      <c r="W18" s="6"/>
      <c r="X18" s="6"/>
      <c r="Y18" s="6"/>
      <c r="Z18" s="11"/>
      <c r="AA18" s="11"/>
      <c r="AB18" s="11"/>
      <c r="AC18" s="11"/>
      <c r="AD18" s="10"/>
      <c r="AE18" s="6"/>
      <c r="AF18" s="6"/>
      <c r="AG18" s="6"/>
      <c r="AH18" s="6"/>
      <c r="AI18" s="11"/>
    </row>
    <row r="19" spans="2:38" x14ac:dyDescent="0.35">
      <c r="B19" t="s">
        <v>1140</v>
      </c>
      <c r="C19" s="197">
        <f>C16/C17</f>
        <v>0.50754178198319977</v>
      </c>
      <c r="D19" s="196">
        <f t="shared" ref="D19:F19" si="17">D16/D17</f>
        <v>0.34414549197046868</v>
      </c>
      <c r="E19" s="196">
        <f t="shared" si="17"/>
        <v>0.60364200004006485</v>
      </c>
      <c r="F19" s="196">
        <f t="shared" si="17"/>
        <v>0.41541711686591082</v>
      </c>
      <c r="K19" s="47"/>
      <c r="L19" s="197">
        <f>L16/L17</f>
        <v>0.51640669906677039</v>
      </c>
      <c r="M19" s="196">
        <f t="shared" ref="M19:O19" si="18">M16/M17</f>
        <v>0.35258581129842681</v>
      </c>
      <c r="N19" s="196">
        <f t="shared" si="18"/>
        <v>0.60277320999766226</v>
      </c>
      <c r="O19" s="196">
        <f t="shared" si="18"/>
        <v>0.42248510706991593</v>
      </c>
      <c r="P19" s="196"/>
      <c r="Q19" s="11"/>
      <c r="R19" s="11"/>
      <c r="S19" s="11"/>
      <c r="T19" s="47"/>
      <c r="U19" s="197">
        <f>U16/U17</f>
        <v>0.53335815894460592</v>
      </c>
      <c r="V19" s="196">
        <f t="shared" ref="V19:X19" si="19">V16/V17</f>
        <v>0.36008981423930164</v>
      </c>
      <c r="W19" s="196">
        <f t="shared" si="19"/>
        <v>0.60949687890009385</v>
      </c>
      <c r="X19" s="196">
        <f t="shared" si="19"/>
        <v>0.42969869401717004</v>
      </c>
      <c r="Y19" s="11"/>
      <c r="Z19" s="11"/>
      <c r="AA19" s="11"/>
      <c r="AB19" s="11"/>
      <c r="AC19" s="11"/>
      <c r="AD19" s="197">
        <f>AD16/AD17</f>
        <v>0.55667733127806485</v>
      </c>
      <c r="AE19" s="196">
        <f t="shared" ref="AE19:AG19" si="20">AE16/AE17</f>
        <v>0.34812546309778647</v>
      </c>
      <c r="AF19" s="196">
        <f t="shared" si="20"/>
        <v>0.60624509520424796</v>
      </c>
      <c r="AG19" s="196">
        <f t="shared" si="20"/>
        <v>0.43073416019972499</v>
      </c>
      <c r="AH19" s="3"/>
      <c r="AI19" s="11"/>
    </row>
    <row r="20" spans="2:38" s="183" customFormat="1" x14ac:dyDescent="0.35">
      <c r="B20" s="183" t="s">
        <v>1170</v>
      </c>
      <c r="C20" s="197"/>
      <c r="D20" s="196"/>
      <c r="E20" s="196"/>
      <c r="F20" s="196"/>
      <c r="G20" s="3">
        <f>F16+K10</f>
        <v>31336945.699751809</v>
      </c>
      <c r="K20" s="47"/>
      <c r="L20" s="10"/>
      <c r="M20" s="6"/>
      <c r="N20" s="6"/>
      <c r="O20" s="196"/>
      <c r="P20" s="3">
        <f>O16+T10</f>
        <v>34822311.541419365</v>
      </c>
      <c r="Q20" s="6"/>
      <c r="R20" s="6"/>
      <c r="S20" s="11"/>
      <c r="T20" s="47"/>
      <c r="U20" s="11"/>
      <c r="V20" s="196"/>
      <c r="W20" s="196"/>
      <c r="X20" s="196"/>
      <c r="Y20" s="6">
        <f>X16+AC10</f>
        <v>42938814.123668917</v>
      </c>
      <c r="Z20" s="6"/>
      <c r="AA20" s="11"/>
      <c r="AB20" s="11"/>
      <c r="AC20" s="11"/>
      <c r="AD20" s="197"/>
      <c r="AE20" s="196"/>
      <c r="AF20" s="196"/>
      <c r="AG20" s="196"/>
      <c r="AH20" s="6">
        <f>AG16+AL10</f>
        <v>52296608.195453599</v>
      </c>
      <c r="AI20" s="6"/>
    </row>
    <row r="21" spans="2:38" s="183" customFormat="1" x14ac:dyDescent="0.35">
      <c r="B21" s="183" t="s">
        <v>1171</v>
      </c>
      <c r="C21" s="197"/>
      <c r="D21" s="196"/>
      <c r="E21" s="196"/>
      <c r="F21" s="196"/>
      <c r="G21" s="3">
        <f>J11-K9</f>
        <v>31336945.699751813</v>
      </c>
      <c r="K21" s="47"/>
      <c r="L21" s="10"/>
      <c r="M21" s="6"/>
      <c r="N21" s="6"/>
      <c r="O21" s="196"/>
      <c r="P21" s="3">
        <f>S11-T9</f>
        <v>34822311.541419372</v>
      </c>
      <c r="Q21" s="6"/>
      <c r="R21" s="6"/>
      <c r="S21" s="11"/>
      <c r="T21" s="47"/>
      <c r="U21" s="11"/>
      <c r="V21" s="196"/>
      <c r="W21" s="196"/>
      <c r="X21" s="196"/>
      <c r="Y21" s="6">
        <f>AB11-AC9</f>
        <v>42938814.123668917</v>
      </c>
      <c r="Z21" s="6"/>
      <c r="AA21" s="11"/>
      <c r="AB21" s="11"/>
      <c r="AC21" s="11"/>
      <c r="AD21" s="10"/>
      <c r="AE21" s="196"/>
      <c r="AF21" s="196"/>
      <c r="AG21" s="196"/>
      <c r="AH21" s="6">
        <f>AK11-AL9</f>
        <v>52296608.195453621</v>
      </c>
      <c r="AI21" s="6"/>
    </row>
    <row r="22" spans="2:38" x14ac:dyDescent="0.35">
      <c r="C22" s="5"/>
      <c r="D22" s="3"/>
      <c r="E22" s="3"/>
      <c r="F22" s="3"/>
      <c r="G22" s="3"/>
      <c r="H22" s="3"/>
      <c r="I22" s="3"/>
      <c r="K22" s="47"/>
      <c r="L22" s="10"/>
      <c r="M22" s="6"/>
      <c r="N22" s="6"/>
      <c r="O22" s="6"/>
      <c r="P22" s="6"/>
      <c r="Q22" s="6"/>
      <c r="R22" s="6"/>
      <c r="S22" s="6"/>
      <c r="T22" s="47"/>
      <c r="U22" s="11"/>
      <c r="V22" s="6"/>
      <c r="W22" s="6"/>
      <c r="X22" s="6"/>
      <c r="Y22" s="6"/>
      <c r="Z22" s="6"/>
      <c r="AA22" s="6"/>
      <c r="AB22" s="6"/>
      <c r="AC22" s="11"/>
      <c r="AD22" s="10"/>
      <c r="AE22" s="6"/>
      <c r="AF22" s="6"/>
      <c r="AG22" s="6"/>
      <c r="AH22" s="6"/>
      <c r="AI22" s="6"/>
      <c r="AJ22" s="3"/>
      <c r="AK22" s="3"/>
    </row>
    <row r="23" spans="2:38" x14ac:dyDescent="0.35">
      <c r="B23" t="str">
        <f>'Bazis modell FES adatai'!B5</f>
        <v>0 FEGYVERES SZERVEK FOGLALKOZÁSAI</v>
      </c>
      <c r="C23" s="5">
        <f>'Bazis modell FES adatai'!H5</f>
        <v>104</v>
      </c>
      <c r="D23" s="6">
        <f>'Bazis modell FES adatai'!I5</f>
        <v>0</v>
      </c>
      <c r="E23" s="6">
        <f>'Bazis modell FES adatai'!J5</f>
        <v>11935</v>
      </c>
      <c r="F23" s="6">
        <f>'Bazis modell FES adatai'!K5</f>
        <v>12039</v>
      </c>
      <c r="G23" s="3"/>
      <c r="H23" s="3"/>
      <c r="I23" s="3"/>
      <c r="K23" s="47"/>
      <c r="L23" s="5">
        <f>'Bazis modell FES adatai'!X5</f>
        <v>23</v>
      </c>
      <c r="M23" s="6">
        <f>'Bazis modell FES adatai'!Y5</f>
        <v>0</v>
      </c>
      <c r="N23" s="6">
        <f>'Bazis modell FES adatai'!Z5</f>
        <v>11193</v>
      </c>
      <c r="O23" s="6">
        <f>'Bazis modell FES adatai'!AA5</f>
        <v>11216</v>
      </c>
      <c r="P23" s="11"/>
      <c r="Q23" s="6"/>
      <c r="R23" s="6"/>
      <c r="S23" s="6"/>
      <c r="T23" s="47"/>
      <c r="U23" s="5">
        <f>'Bazis modell FES adatai'!AR5</f>
        <v>13.762361001857267</v>
      </c>
      <c r="V23" s="6">
        <f>'Bazis modell FES adatai'!AS5</f>
        <v>5.759781429855134</v>
      </c>
      <c r="W23" s="6">
        <f>'Bazis modell FES adatai'!AT5</f>
        <v>9838.2978883984433</v>
      </c>
      <c r="X23" s="6">
        <f>'Bazis modell FES adatai'!AU5</f>
        <v>9857.8200308301566</v>
      </c>
      <c r="Y23" s="11"/>
      <c r="Z23" s="6"/>
      <c r="AA23" s="6"/>
      <c r="AB23" s="6"/>
      <c r="AC23" s="11"/>
      <c r="AD23" s="5">
        <f>'Bazis modell FES adatai'!BL42*AD$17</f>
        <v>-91.033080330846047</v>
      </c>
      <c r="AE23" s="6">
        <f>'Bazis modell FES adatai'!BM42*AE$17</f>
        <v>-12.653369775562547</v>
      </c>
      <c r="AF23" s="6">
        <f>'Bazis modell FES adatai'!BN42*AF$17</f>
        <v>6912.8826697672066</v>
      </c>
      <c r="AG23" s="6">
        <f>SUM(AD23:AF23)</f>
        <v>6809.1962196607983</v>
      </c>
      <c r="AI23" s="6"/>
      <c r="AJ23" s="3"/>
      <c r="AK23" s="3"/>
    </row>
    <row r="24" spans="2:38" x14ac:dyDescent="0.35">
      <c r="B24" s="183" t="str">
        <f>'Bazis modell FES adatai'!B6</f>
        <v>1 GAZDASÁGI, IGAZGATÁSI, ÉRDEK-KÉPVISELETI VEZETŐK, TÖRVÉNYHOZÓK</v>
      </c>
      <c r="C24" s="5">
        <f>'Bazis modell FES adatai'!H6</f>
        <v>34662</v>
      </c>
      <c r="D24" s="6">
        <f>'Bazis modell FES adatai'!I6</f>
        <v>86757</v>
      </c>
      <c r="E24" s="6">
        <f>'Bazis modell FES adatai'!J6</f>
        <v>93076</v>
      </c>
      <c r="F24" s="6">
        <f>'Bazis modell FES adatai'!K6</f>
        <v>214495</v>
      </c>
      <c r="G24" s="3"/>
      <c r="H24" s="3"/>
      <c r="I24" s="3"/>
      <c r="K24" s="47"/>
      <c r="L24" s="5">
        <f>'Bazis modell FES adatai'!X6</f>
        <v>32987</v>
      </c>
      <c r="M24" s="6">
        <f>'Bazis modell FES adatai'!Y6</f>
        <v>76216</v>
      </c>
      <c r="N24" s="6">
        <f>'Bazis modell FES adatai'!Z6</f>
        <v>87669</v>
      </c>
      <c r="O24" s="6">
        <f>'Bazis modell FES adatai'!AA6</f>
        <v>196872</v>
      </c>
      <c r="P24" s="11"/>
      <c r="Q24" s="6"/>
      <c r="R24" s="6"/>
      <c r="S24" s="6"/>
      <c r="T24" s="47"/>
      <c r="U24" s="5">
        <f>'Bazis modell FES adatai'!AR6</f>
        <v>31892.09635681233</v>
      </c>
      <c r="V24" s="6">
        <f>'Bazis modell FES adatai'!AS6</f>
        <v>78879.183018826108</v>
      </c>
      <c r="W24" s="6">
        <f>'Bazis modell FES adatai'!AT6</f>
        <v>83896.635099497638</v>
      </c>
      <c r="X24" s="6">
        <f>'Bazis modell FES adatai'!AU6</f>
        <v>194667.91447513609</v>
      </c>
      <c r="Y24" s="11"/>
      <c r="Z24" s="6"/>
      <c r="AA24" s="6"/>
      <c r="AB24" s="6"/>
      <c r="AC24" s="11"/>
      <c r="AD24" s="5">
        <f>'Bazis modell FES adatai'!BL43*AD$17</f>
        <v>34212.050200195699</v>
      </c>
      <c r="AE24" s="6">
        <f>'Bazis modell FES adatai'!BM43*AE$17</f>
        <v>71567.871371184505</v>
      </c>
      <c r="AF24" s="6">
        <f>'Bazis modell FES adatai'!BN43*AF$17</f>
        <v>78616.547191617123</v>
      </c>
      <c r="AG24" s="6">
        <f t="shared" ref="AG24:AG42" si="21">SUM(AD24:AF24)</f>
        <v>184396.46876299731</v>
      </c>
      <c r="AI24" s="6"/>
      <c r="AJ24" s="3"/>
      <c r="AK24" s="3"/>
    </row>
    <row r="25" spans="2:38" x14ac:dyDescent="0.35">
      <c r="B25" s="183" t="str">
        <f>'Bazis modell FES adatai'!B7</f>
        <v>2 FELSŐFOKÚ KÉPZETTSÉG ÖNÁLLÓ ALKALMAZÁSÁT IGÉNYLŐ FOGLALKOZÁSOK</v>
      </c>
      <c r="C25" s="5">
        <f>'Bazis modell FES adatai'!H7</f>
        <v>103126</v>
      </c>
      <c r="D25" s="6">
        <f>'Bazis modell FES adatai'!I7</f>
        <v>131446</v>
      </c>
      <c r="E25" s="6">
        <f>'Bazis modell FES adatai'!J7</f>
        <v>361309</v>
      </c>
      <c r="F25" s="6">
        <f>'Bazis modell FES adatai'!K7</f>
        <v>595881</v>
      </c>
      <c r="K25" s="47"/>
      <c r="L25" s="5">
        <f>'Bazis modell FES adatai'!X7</f>
        <v>110903</v>
      </c>
      <c r="M25" s="6">
        <f>'Bazis modell FES adatai'!Y7</f>
        <v>171774</v>
      </c>
      <c r="N25" s="6">
        <f>'Bazis modell FES adatai'!Z7</f>
        <v>378407</v>
      </c>
      <c r="O25" s="6">
        <f>'Bazis modell FES adatai'!AA7</f>
        <v>661084</v>
      </c>
      <c r="P25" s="11"/>
      <c r="Q25" s="11"/>
      <c r="R25" s="11"/>
      <c r="S25" s="11"/>
      <c r="T25" s="47"/>
      <c r="U25" s="5">
        <f>'Bazis modell FES adatai'!AR7</f>
        <v>105696.89741807801</v>
      </c>
      <c r="V25" s="6">
        <f>'Bazis modell FES adatai'!AS7</f>
        <v>211160.58551444864</v>
      </c>
      <c r="W25" s="6">
        <f>'Bazis modell FES adatai'!AT7</f>
        <v>384389.94515825371</v>
      </c>
      <c r="X25" s="6">
        <f>'Bazis modell FES adatai'!AU7</f>
        <v>701247.42809078027</v>
      </c>
      <c r="Y25" s="11"/>
      <c r="Z25" s="11"/>
      <c r="AA25" s="11"/>
      <c r="AB25" s="11"/>
      <c r="AC25" s="11"/>
      <c r="AD25" s="5">
        <f>'Bazis modell FES adatai'!BL44*AD$17</f>
        <v>125093.21246427177</v>
      </c>
      <c r="AE25" s="6">
        <f>'Bazis modell FES adatai'!BM44*AE$17</f>
        <v>248345.55763888225</v>
      </c>
      <c r="AF25" s="6">
        <f>'Bazis modell FES adatai'!BN44*AF$17</f>
        <v>392203.81988667534</v>
      </c>
      <c r="AG25" s="6">
        <f t="shared" si="21"/>
        <v>765642.58998982934</v>
      </c>
      <c r="AI25" s="11"/>
    </row>
    <row r="26" spans="2:38" x14ac:dyDescent="0.35">
      <c r="B26" s="183" t="str">
        <f>'Bazis modell FES adatai'!B8</f>
        <v>3 EGYÉB FELSŐFOKÚ VAGY KÖZÉPFOKÚ KÉPZETTSÉGET IGÉNYLŐ FOGLALKOZÁSOK</v>
      </c>
      <c r="C26" s="5">
        <f>'Bazis modell FES adatai'!H8</f>
        <v>108174</v>
      </c>
      <c r="D26" s="6">
        <f>'Bazis modell FES adatai'!I8</f>
        <v>196489</v>
      </c>
      <c r="E26" s="6">
        <f>'Bazis modell FES adatai'!J8</f>
        <v>253712</v>
      </c>
      <c r="F26" s="6">
        <f>'Bazis modell FES adatai'!K8</f>
        <v>558375</v>
      </c>
      <c r="K26" s="47"/>
      <c r="L26" s="5">
        <f>'Bazis modell FES adatai'!X8</f>
        <v>126244</v>
      </c>
      <c r="M26" s="6">
        <f>'Bazis modell FES adatai'!Y8</f>
        <v>219742</v>
      </c>
      <c r="N26" s="6">
        <f>'Bazis modell FES adatai'!Z8</f>
        <v>312727</v>
      </c>
      <c r="O26" s="6">
        <f>'Bazis modell FES adatai'!AA8</f>
        <v>658713</v>
      </c>
      <c r="P26" s="11"/>
      <c r="Q26" s="11"/>
      <c r="R26" s="11"/>
      <c r="S26" s="11"/>
      <c r="T26" s="47"/>
      <c r="U26" s="5">
        <f>'Bazis modell FES adatai'!AR8</f>
        <v>159374.9747175464</v>
      </c>
      <c r="V26" s="6">
        <f>'Bazis modell FES adatai'!AS8</f>
        <v>277831.10297218384</v>
      </c>
      <c r="W26" s="6">
        <f>'Bazis modell FES adatai'!AT8</f>
        <v>349354.8427515403</v>
      </c>
      <c r="X26" s="6">
        <f>'Bazis modell FES adatai'!AU8</f>
        <v>786560.92044127057</v>
      </c>
      <c r="Y26" s="11"/>
      <c r="Z26" s="11"/>
      <c r="AA26" s="11"/>
      <c r="AB26" s="11"/>
      <c r="AC26" s="11"/>
      <c r="AD26" s="5">
        <f>'Bazis modell FES adatai'!BL45*AD$17</f>
        <v>240000.89491622211</v>
      </c>
      <c r="AE26" s="6">
        <f>'Bazis modell FES adatai'!BM45*AE$17</f>
        <v>321625.29599017301</v>
      </c>
      <c r="AF26" s="6">
        <f>'Bazis modell FES adatai'!BN45*AF$17</f>
        <v>410470.64560907299</v>
      </c>
      <c r="AG26" s="6">
        <f t="shared" si="21"/>
        <v>972096.83651546808</v>
      </c>
      <c r="AI26" s="11"/>
    </row>
    <row r="27" spans="2:38" x14ac:dyDescent="0.35">
      <c r="B27" s="183" t="str">
        <f>'Bazis modell FES adatai'!B9</f>
        <v>4 IRODAI ÉS ÜGYVITELI (ÜGYFÉLKAPCSOLATI) FOGLALKOZÁSOK</v>
      </c>
      <c r="C27" s="5">
        <f>'Bazis modell FES adatai'!H9</f>
        <v>94694</v>
      </c>
      <c r="D27" s="6">
        <f>'Bazis modell FES adatai'!I9</f>
        <v>87414</v>
      </c>
      <c r="E27" s="6">
        <f>'Bazis modell FES adatai'!J9</f>
        <v>86374</v>
      </c>
      <c r="F27" s="6">
        <f>'Bazis modell FES adatai'!K9</f>
        <v>268482</v>
      </c>
      <c r="K27" s="47"/>
      <c r="L27" s="5">
        <f>'Bazis modell FES adatai'!X9</f>
        <v>95539</v>
      </c>
      <c r="M27" s="6">
        <f>'Bazis modell FES adatai'!Y9</f>
        <v>100905</v>
      </c>
      <c r="N27" s="6">
        <f>'Bazis modell FES adatai'!Z9</f>
        <v>85652</v>
      </c>
      <c r="O27" s="6">
        <f>'Bazis modell FES adatai'!AA9</f>
        <v>282096</v>
      </c>
      <c r="P27" s="11"/>
      <c r="Q27" s="11"/>
      <c r="R27" s="11"/>
      <c r="S27" s="11"/>
      <c r="T27" s="47"/>
      <c r="U27" s="5">
        <f>'Bazis modell FES adatai'!AR9</f>
        <v>105543.13266135129</v>
      </c>
      <c r="V27" s="6">
        <f>'Bazis modell FES adatai'!AS9</f>
        <v>114657.01954522534</v>
      </c>
      <c r="W27" s="6">
        <f>'Bazis modell FES adatai'!AT9</f>
        <v>94845.799463605566</v>
      </c>
      <c r="X27" s="6">
        <f>'Bazis modell FES adatai'!AU9</f>
        <v>315045.95167018217</v>
      </c>
      <c r="Y27" s="11"/>
      <c r="Z27" s="11"/>
      <c r="AA27" s="11"/>
      <c r="AB27" s="11"/>
      <c r="AC27" s="11"/>
      <c r="AD27" s="5">
        <f>'Bazis modell FES adatai'!BL46*AD$17</f>
        <v>135346.00072346808</v>
      </c>
      <c r="AE27" s="6">
        <f>'Bazis modell FES adatai'!BM46*AE$17</f>
        <v>128829.77197927581</v>
      </c>
      <c r="AF27" s="6">
        <f>'Bazis modell FES adatai'!BN46*AF$17</f>
        <v>103975.30790697224</v>
      </c>
      <c r="AG27" s="6">
        <f t="shared" si="21"/>
        <v>368151.08060971613</v>
      </c>
      <c r="AI27" s="11"/>
    </row>
    <row r="28" spans="2:38" x14ac:dyDescent="0.35">
      <c r="B28" s="183" t="str">
        <f>'Bazis modell FES adatai'!B10</f>
        <v>5 KERESKEDELMI ÉS SZOLGÁLTATÁSI FOGLALKOZÁSOK</v>
      </c>
      <c r="C28" s="5">
        <f>'Bazis modell FES adatai'!H10</f>
        <v>37886</v>
      </c>
      <c r="D28" s="6">
        <f>'Bazis modell FES adatai'!I10</f>
        <v>65243</v>
      </c>
      <c r="E28" s="6">
        <f>'Bazis modell FES adatai'!J10</f>
        <v>453921</v>
      </c>
      <c r="F28" s="6">
        <f>'Bazis modell FES adatai'!K10</f>
        <v>557050</v>
      </c>
      <c r="K28" s="194"/>
      <c r="L28" s="5">
        <f>'Bazis modell FES adatai'!X10</f>
        <v>47934</v>
      </c>
      <c r="M28" s="6">
        <f>'Bazis modell FES adatai'!Y10</f>
        <v>62502</v>
      </c>
      <c r="N28" s="6">
        <f>'Bazis modell FES adatai'!Z10</f>
        <v>491371</v>
      </c>
      <c r="O28" s="6">
        <f>'Bazis modell FES adatai'!AA10</f>
        <v>601807</v>
      </c>
      <c r="P28" s="11"/>
      <c r="Q28" s="11"/>
      <c r="R28" s="11"/>
      <c r="S28" s="11"/>
      <c r="T28" s="47"/>
      <c r="U28" s="5">
        <f>'Bazis modell FES adatai'!AR10</f>
        <v>50765.082373874975</v>
      </c>
      <c r="V28" s="6">
        <f>'Bazis modell FES adatai'!AS10</f>
        <v>78394.21704674483</v>
      </c>
      <c r="W28" s="6">
        <f>'Bazis modell FES adatai'!AT10</f>
        <v>516946.50253117702</v>
      </c>
      <c r="X28" s="6">
        <f>'Bazis modell FES adatai'!AU10</f>
        <v>646105.80195179686</v>
      </c>
      <c r="Y28" s="11"/>
      <c r="Z28" s="11"/>
      <c r="AA28" s="11"/>
      <c r="AB28" s="11"/>
      <c r="AC28" s="11"/>
      <c r="AD28" s="5">
        <f>'Bazis modell FES adatai'!BL47*AD$17</f>
        <v>63475.827278484772</v>
      </c>
      <c r="AE28" s="6">
        <f>'Bazis modell FES adatai'!BM47*AE$17</f>
        <v>82428.751602635035</v>
      </c>
      <c r="AF28" s="6">
        <f>'Bazis modell FES adatai'!BN47*AF$17</f>
        <v>553909.06158096425</v>
      </c>
      <c r="AG28" s="6">
        <f t="shared" si="21"/>
        <v>699813.64046208409</v>
      </c>
      <c r="AI28" s="11"/>
    </row>
    <row r="29" spans="2:38" x14ac:dyDescent="0.35">
      <c r="B29" s="183" t="str">
        <f>'Bazis modell FES adatai'!B11</f>
        <v>6 MEZŐGAZDASÁGI ÉS ERDŐGAZDÁLKODÁSI FOGLALKOZÁSOK</v>
      </c>
      <c r="C29" s="5">
        <f>'Bazis modell FES adatai'!H11</f>
        <v>84884</v>
      </c>
      <c r="D29" s="6">
        <f>'Bazis modell FES adatai'!I11</f>
        <v>11946</v>
      </c>
      <c r="E29" s="6">
        <f>'Bazis modell FES adatai'!J11</f>
        <v>4799</v>
      </c>
      <c r="F29" s="6">
        <f>'Bazis modell FES adatai'!K11</f>
        <v>101629</v>
      </c>
      <c r="K29" s="194"/>
      <c r="L29" s="5">
        <f>'Bazis modell FES adatai'!X11</f>
        <v>87019</v>
      </c>
      <c r="M29" s="6">
        <f>'Bazis modell FES adatai'!Y11</f>
        <v>10354</v>
      </c>
      <c r="N29" s="6">
        <f>'Bazis modell FES adatai'!Z11</f>
        <v>4011</v>
      </c>
      <c r="O29" s="6">
        <f>'Bazis modell FES adatai'!AA11</f>
        <v>101384</v>
      </c>
      <c r="P29" s="11"/>
      <c r="Q29" s="11"/>
      <c r="R29" s="11"/>
      <c r="S29" s="11"/>
      <c r="T29" s="47"/>
      <c r="U29" s="5">
        <f>'Bazis modell FES adatai'!AR11</f>
        <v>113893.24674957919</v>
      </c>
      <c r="V29" s="6">
        <f>'Bazis modell FES adatai'!AS11</f>
        <v>12288.485930311301</v>
      </c>
      <c r="W29" s="6">
        <f>'Bazis modell FES adatai'!AT11</f>
        <v>3749.8686007979609</v>
      </c>
      <c r="X29" s="6">
        <f>'Bazis modell FES adatai'!AU11</f>
        <v>129931.60128068845</v>
      </c>
      <c r="Y29" s="11"/>
      <c r="Z29" s="11"/>
      <c r="AA29" s="11"/>
      <c r="AB29" s="11"/>
      <c r="AC29" s="11"/>
      <c r="AD29" s="5">
        <f>'Bazis modell FES adatai'!BL48*AD$17</f>
        <v>171599.83241248096</v>
      </c>
      <c r="AE29" s="6">
        <f>'Bazis modell FES adatai'!BM48*AE$17</f>
        <v>11710.731288866447</v>
      </c>
      <c r="AF29" s="6">
        <f>'Bazis modell FES adatai'!BN48*AF$17</f>
        <v>2549.4636417786778</v>
      </c>
      <c r="AG29" s="6">
        <f t="shared" si="21"/>
        <v>185860.0273431261</v>
      </c>
      <c r="AI29" s="11"/>
    </row>
    <row r="30" spans="2:38" x14ac:dyDescent="0.35">
      <c r="B30" s="183" t="str">
        <f>'Bazis modell FES adatai'!B12</f>
        <v>7 IPARI ÉS ÉPÍTŐIPARI FOGLALKOZÁSOK</v>
      </c>
      <c r="C30" s="5">
        <f>'Bazis modell FES adatai'!H12</f>
        <v>39596</v>
      </c>
      <c r="D30" s="6">
        <f>'Bazis modell FES adatai'!I12</f>
        <v>453326</v>
      </c>
      <c r="E30" s="6">
        <f>'Bazis modell FES adatai'!J12</f>
        <v>38823</v>
      </c>
      <c r="F30" s="6">
        <f>'Bazis modell FES adatai'!K12</f>
        <v>531745</v>
      </c>
      <c r="K30" s="194"/>
      <c r="L30" s="5">
        <f>'Bazis modell FES adatai'!X12</f>
        <v>48881</v>
      </c>
      <c r="M30" s="6">
        <f>'Bazis modell FES adatai'!Y12</f>
        <v>452862</v>
      </c>
      <c r="N30" s="6">
        <f>'Bazis modell FES adatai'!Z12</f>
        <v>48575</v>
      </c>
      <c r="O30" s="6">
        <f>'Bazis modell FES adatai'!AA12</f>
        <v>550318</v>
      </c>
      <c r="P30" s="11"/>
      <c r="Q30" s="11"/>
      <c r="R30" s="11"/>
      <c r="S30" s="11"/>
      <c r="T30" s="47"/>
      <c r="U30" s="5">
        <f>'Bazis modell FES adatai'!AR12</f>
        <v>52686.367685721823</v>
      </c>
      <c r="V30" s="6">
        <f>'Bazis modell FES adatai'!AS12</f>
        <v>503933.70453906886</v>
      </c>
      <c r="W30" s="6">
        <f>'Bazis modell FES adatai'!AT12</f>
        <v>56287.299933933158</v>
      </c>
      <c r="X30" s="6">
        <f>'Bazis modell FES adatai'!AU12</f>
        <v>612907.37215872388</v>
      </c>
      <c r="Y30" s="11"/>
      <c r="Z30" s="11"/>
      <c r="AA30" s="11"/>
      <c r="AB30" s="11"/>
      <c r="AC30" s="11"/>
      <c r="AD30" s="5">
        <f>'Bazis modell FES adatai'!BL49*AD$17</f>
        <v>72605.507226859801</v>
      </c>
      <c r="AE30" s="6">
        <f>'Bazis modell FES adatai'!BM49*AE$17</f>
        <v>520016.89600284072</v>
      </c>
      <c r="AF30" s="6">
        <f>'Bazis modell FES adatai'!BN49*AF$17</f>
        <v>67497.780583296408</v>
      </c>
      <c r="AG30" s="6">
        <f t="shared" si="21"/>
        <v>660120.18381299695</v>
      </c>
      <c r="AI30" s="11"/>
    </row>
    <row r="31" spans="2:38" x14ac:dyDescent="0.35">
      <c r="B31" s="183" t="str">
        <f>'Bazis modell FES adatai'!B13</f>
        <v>8 GÉPKEZELŐK, ÖSSZESZERELŐK, JÁRMŰVEZETŐK</v>
      </c>
      <c r="C31" s="5">
        <f>'Bazis modell FES adatai'!H13</f>
        <v>49026</v>
      </c>
      <c r="D31" s="6">
        <f>'Bazis modell FES adatai'!I13</f>
        <v>421335</v>
      </c>
      <c r="E31" s="6">
        <f>'Bazis modell FES adatai'!J13</f>
        <v>28811</v>
      </c>
      <c r="F31" s="6">
        <f>'Bazis modell FES adatai'!K13</f>
        <v>499172</v>
      </c>
      <c r="K31" s="47"/>
      <c r="L31" s="5">
        <f>'Bazis modell FES adatai'!X13</f>
        <v>65176</v>
      </c>
      <c r="M31" s="6">
        <f>'Bazis modell FES adatai'!Y13</f>
        <v>442993</v>
      </c>
      <c r="N31" s="6">
        <f>'Bazis modell FES adatai'!Z13</f>
        <v>23909</v>
      </c>
      <c r="O31" s="6">
        <f>'Bazis modell FES adatai'!AA13</f>
        <v>532078</v>
      </c>
      <c r="P31" s="11"/>
      <c r="Q31" s="11"/>
      <c r="R31" s="11"/>
      <c r="S31" s="11"/>
      <c r="T31" s="47"/>
      <c r="U31" s="5">
        <f>'Bazis modell FES adatai'!AR13</f>
        <v>76496.822205114862</v>
      </c>
      <c r="V31" s="6">
        <f>'Bazis modell FES adatai'!AS13</f>
        <v>585849.79813507758</v>
      </c>
      <c r="W31" s="6">
        <f>'Bazis modell FES adatai'!AT13</f>
        <v>25974.252211761392</v>
      </c>
      <c r="X31" s="6">
        <f>'Bazis modell FES adatai'!AU13</f>
        <v>688320.87255195389</v>
      </c>
      <c r="Y31" s="11"/>
      <c r="Z31" s="11"/>
      <c r="AA31" s="11"/>
      <c r="AB31" s="11"/>
      <c r="AC31" s="11"/>
      <c r="AD31" s="5">
        <f>'Bazis modell FES adatai'!BL50*AD$17</f>
        <v>116464.06017973355</v>
      </c>
      <c r="AE31" s="6">
        <f>'Bazis modell FES adatai'!BM50*AE$17</f>
        <v>689789.81738637004</v>
      </c>
      <c r="AF31" s="6">
        <f>'Bazis modell FES adatai'!BN50*AF$17</f>
        <v>22488.130190981825</v>
      </c>
      <c r="AG31" s="6">
        <f t="shared" si="21"/>
        <v>828742.00775708538</v>
      </c>
      <c r="AI31" s="11"/>
    </row>
    <row r="32" spans="2:38" x14ac:dyDescent="0.35">
      <c r="B32" s="183" t="str">
        <f>'Bazis modell FES adatai'!B14</f>
        <v>9 SZAKKÉPZETTSÉGET NEM IGÉNYLŐ (EGYSZERŰ) FOGLALKOZÁSOK</v>
      </c>
      <c r="C32" s="5">
        <f>'Bazis modell FES adatai'!H14</f>
        <v>55236</v>
      </c>
      <c r="D32" s="6">
        <f>'Bazis modell FES adatai'!I14</f>
        <v>119751</v>
      </c>
      <c r="E32" s="6">
        <f>'Bazis modell FES adatai'!J14</f>
        <v>128702</v>
      </c>
      <c r="F32" s="6">
        <f>'Bazis modell FES adatai'!K14</f>
        <v>303689</v>
      </c>
      <c r="K32" s="47"/>
      <c r="L32" s="5">
        <f>'Bazis modell FES adatai'!X14</f>
        <v>70254</v>
      </c>
      <c r="M32" s="6">
        <f>'Bazis modell FES adatai'!Y14</f>
        <v>108348</v>
      </c>
      <c r="N32" s="6">
        <f>'Bazis modell FES adatai'!Z14</f>
        <v>113554</v>
      </c>
      <c r="O32" s="6">
        <f>'Bazis modell FES adatai'!AA14</f>
        <v>292156</v>
      </c>
      <c r="P32" s="11"/>
      <c r="Q32" s="11"/>
      <c r="R32" s="11"/>
      <c r="S32" s="11"/>
      <c r="T32" s="47"/>
      <c r="U32" s="5">
        <f>'Bazis modell FES adatai'!AR14</f>
        <v>78912.933722523725</v>
      </c>
      <c r="V32" s="6">
        <f>'Bazis modell FES adatai'!AS14</f>
        <v>125102.36657355634</v>
      </c>
      <c r="W32" s="6">
        <f>'Bazis modell FES adatai'!AT14</f>
        <v>127935.28131791719</v>
      </c>
      <c r="X32" s="6">
        <f>'Bazis modell FES adatai'!AU14</f>
        <v>331950.58161399723</v>
      </c>
      <c r="Y32" s="11"/>
      <c r="Z32" s="11"/>
      <c r="AA32" s="11"/>
      <c r="AB32" s="11"/>
      <c r="AC32" s="11"/>
      <c r="AD32" s="5">
        <f>'Bazis modell FES adatai'!BL51*AD$17</f>
        <v>113629.96373935585</v>
      </c>
      <c r="AE32" s="6">
        <f>'Bazis modell FES adatai'!BM51*AE$17</f>
        <v>127205.59883653492</v>
      </c>
      <c r="AF32" s="6">
        <f>'Bazis modell FES adatai'!BN51*AF$17</f>
        <v>127656.43085414487</v>
      </c>
      <c r="AG32" s="6">
        <f t="shared" si="21"/>
        <v>368491.99343003565</v>
      </c>
      <c r="AI32" s="11"/>
    </row>
    <row r="33" spans="2:35" x14ac:dyDescent="0.35">
      <c r="B33" s="183" t="str">
        <f>'Bazis modell FES adatai'!B15</f>
        <v>Összesen</v>
      </c>
      <c r="C33" s="5">
        <f>'Bazis modell FES adatai'!H15</f>
        <v>607388</v>
      </c>
      <c r="D33" s="6">
        <f>'Bazis modell FES adatai'!I15</f>
        <v>1573707</v>
      </c>
      <c r="E33" s="6">
        <f>'Bazis modell FES adatai'!J15</f>
        <v>1461462</v>
      </c>
      <c r="F33" s="6">
        <f>'Bazis modell FES adatai'!K15</f>
        <v>3642557</v>
      </c>
      <c r="K33" s="194"/>
      <c r="L33" s="5">
        <f>'Bazis modell FES adatai'!X15</f>
        <v>684960</v>
      </c>
      <c r="M33" s="6">
        <f>'Bazis modell FES adatai'!Y15</f>
        <v>1645696</v>
      </c>
      <c r="N33" s="6">
        <f>'Bazis modell FES adatai'!Z15</f>
        <v>1557068</v>
      </c>
      <c r="O33" s="6">
        <f>'Bazis modell FES adatai'!AA15</f>
        <v>3887724</v>
      </c>
      <c r="P33" s="11"/>
      <c r="Q33" s="11"/>
      <c r="R33" s="11"/>
      <c r="S33" s="11"/>
      <c r="T33" s="47"/>
      <c r="U33" s="5">
        <f>'Bazis modell FES adatai'!AR15</f>
        <v>775275.31625160447</v>
      </c>
      <c r="V33" s="6">
        <f>'Bazis modell FES adatai'!AS15</f>
        <v>1988102.2230568724</v>
      </c>
      <c r="W33" s="6">
        <f>'Bazis modell FES adatai'!AT15</f>
        <v>1653218.7249568827</v>
      </c>
      <c r="X33" s="6">
        <f>'Bazis modell FES adatai'!AU15</f>
        <v>4416596.2642653594</v>
      </c>
      <c r="Y33" s="11"/>
      <c r="Z33" s="11"/>
      <c r="AA33" s="11"/>
      <c r="AB33" s="11"/>
      <c r="AC33" s="11"/>
      <c r="AD33" s="5">
        <f>'Bazis modell FES adatai'!BL52*AD$17</f>
        <v>1072336.3160607417</v>
      </c>
      <c r="AE33" s="6">
        <f>'Bazis modell FES adatai'!BM52*AE$17</f>
        <v>2201507.6387269869</v>
      </c>
      <c r="AF33" s="6">
        <f>'Bazis modell FES adatai'!BN52*AF$17</f>
        <v>1766280.0701152708</v>
      </c>
      <c r="AG33" s="6">
        <f t="shared" si="21"/>
        <v>5040124.0249029994</v>
      </c>
      <c r="AI33" s="11"/>
    </row>
    <row r="34" spans="2:35" x14ac:dyDescent="0.35">
      <c r="B34" s="183"/>
      <c r="C34" s="5"/>
      <c r="D34" s="6"/>
      <c r="E34" s="6"/>
      <c r="F34" s="6"/>
      <c r="K34" s="194"/>
      <c r="L34" s="5"/>
      <c r="M34" s="6"/>
      <c r="N34" s="6"/>
      <c r="O34" s="6"/>
      <c r="P34" s="11"/>
      <c r="Q34" s="11"/>
      <c r="R34" s="11"/>
      <c r="S34" s="11"/>
      <c r="T34" s="47"/>
      <c r="U34" s="5"/>
      <c r="V34" s="6"/>
      <c r="W34" s="6"/>
      <c r="X34" s="6"/>
      <c r="Y34" s="11"/>
      <c r="Z34" s="11"/>
      <c r="AA34" s="11"/>
      <c r="AB34" s="11"/>
      <c r="AC34" s="11"/>
      <c r="AD34" s="5"/>
      <c r="AE34" s="6"/>
      <c r="AF34" s="6"/>
      <c r="AG34" s="6"/>
      <c r="AI34" s="11"/>
    </row>
    <row r="35" spans="2:35" x14ac:dyDescent="0.35">
      <c r="B35" s="183" t="str">
        <f>'Bazis modell FES adatai'!B17</f>
        <v>I1 Általános Iskola 0-7 osztály</v>
      </c>
      <c r="C35" s="5">
        <f>'Bazis modell FES adatai'!H17</f>
        <v>2266</v>
      </c>
      <c r="D35" s="6">
        <f>'Bazis modell FES adatai'!I17</f>
        <v>3763</v>
      </c>
      <c r="E35" s="6">
        <f>'Bazis modell FES adatai'!J17</f>
        <v>1601</v>
      </c>
      <c r="F35" s="6">
        <f>'Bazis modell FES adatai'!K17</f>
        <v>7630</v>
      </c>
      <c r="K35" s="194"/>
      <c r="L35" s="5">
        <f>'Bazis modell FES adatai'!X17</f>
        <v>3304</v>
      </c>
      <c r="M35" s="6">
        <f>'Bazis modell FES adatai'!Y17</f>
        <v>3104</v>
      </c>
      <c r="N35" s="6">
        <f>'Bazis modell FES adatai'!Z17</f>
        <v>1473</v>
      </c>
      <c r="O35" s="6">
        <f>'Bazis modell FES adatai'!AA17</f>
        <v>7881</v>
      </c>
      <c r="P35" s="11"/>
      <c r="Q35" s="11"/>
      <c r="R35" s="11"/>
      <c r="S35" s="11"/>
      <c r="T35" s="47"/>
      <c r="U35" s="5">
        <f>'Bazis modell FES adatai'!AR17</f>
        <v>3117.2570250471845</v>
      </c>
      <c r="V35" s="6">
        <f>'Bazis modell FES adatai'!AS17</f>
        <v>3088.9521763718144</v>
      </c>
      <c r="W35" s="6">
        <f>'Bazis modell FES adatai'!AT17</f>
        <v>3509.0622867335787</v>
      </c>
      <c r="X35" s="6">
        <f>'Bazis modell FES adatai'!AU17</f>
        <v>9715.2714881525771</v>
      </c>
      <c r="Y35" s="11"/>
      <c r="Z35" s="11"/>
      <c r="AA35" s="11"/>
      <c r="AB35" s="11"/>
      <c r="AC35" s="11"/>
      <c r="AD35" s="5">
        <f>'Bazis modell FES adatai'!BL54*AD$17</f>
        <v>4155.1365966872117</v>
      </c>
      <c r="AE35" s="6">
        <f>'Bazis modell FES adatai'!BM54*AE$17</f>
        <v>2690.8769419683395</v>
      </c>
      <c r="AF35" s="6">
        <f>'Bazis modell FES adatai'!BN54*AF$17</f>
        <v>5292.5598019141926</v>
      </c>
      <c r="AG35" s="6">
        <f t="shared" si="21"/>
        <v>12138.573340569743</v>
      </c>
      <c r="AI35" s="11"/>
    </row>
    <row r="36" spans="2:35" x14ac:dyDescent="0.35">
      <c r="B36" s="183" t="str">
        <f>'Bazis modell FES adatai'!B18</f>
        <v>I2 Általános Iskola 8 osztály</v>
      </c>
      <c r="C36" s="5">
        <f>'Bazis modell FES adatai'!H18</f>
        <v>76738</v>
      </c>
      <c r="D36" s="6">
        <f>'Bazis modell FES adatai'!I18</f>
        <v>198586</v>
      </c>
      <c r="E36" s="6">
        <f>'Bazis modell FES adatai'!J18</f>
        <v>107797</v>
      </c>
      <c r="F36" s="6">
        <f>'Bazis modell FES adatai'!K18</f>
        <v>383121</v>
      </c>
      <c r="K36" s="47"/>
      <c r="L36" s="5">
        <f>'Bazis modell FES adatai'!X18</f>
        <v>80963</v>
      </c>
      <c r="M36" s="6">
        <f>'Bazis modell FES adatai'!Y18</f>
        <v>193030</v>
      </c>
      <c r="N36" s="6">
        <f>'Bazis modell FES adatai'!Z18</f>
        <v>92082</v>
      </c>
      <c r="O36" s="6">
        <f>'Bazis modell FES adatai'!AA18</f>
        <v>366075</v>
      </c>
      <c r="P36" s="11"/>
      <c r="Q36" s="11"/>
      <c r="R36" s="11"/>
      <c r="S36" s="11"/>
      <c r="T36" s="47"/>
      <c r="U36" s="5">
        <f>'Bazis modell FES adatai'!AR18</f>
        <v>90729.840976061299</v>
      </c>
      <c r="V36" s="6">
        <f>'Bazis modell FES adatai'!AS18</f>
        <v>229110.90011619046</v>
      </c>
      <c r="W36" s="6">
        <f>'Bazis modell FES adatai'!AT18</f>
        <v>94127.81237446559</v>
      </c>
      <c r="X36" s="6">
        <f>'Bazis modell FES adatai'!AU18</f>
        <v>413968.55346671731</v>
      </c>
      <c r="Y36" s="11"/>
      <c r="Z36" s="11"/>
      <c r="AA36" s="11"/>
      <c r="AB36" s="11"/>
      <c r="AC36" s="11"/>
      <c r="AD36" s="5">
        <f>'Bazis modell FES adatai'!BL55*AD$17</f>
        <v>122082.65196357231</v>
      </c>
      <c r="AE36" s="6">
        <f>'Bazis modell FES adatai'!BM55*AE$17</f>
        <v>248359.59518682401</v>
      </c>
      <c r="AF36" s="6">
        <f>'Bazis modell FES adatai'!BN55*AF$17</f>
        <v>87783.260895804007</v>
      </c>
      <c r="AG36" s="6">
        <f t="shared" si="21"/>
        <v>458225.50804620038</v>
      </c>
      <c r="AI36" s="11"/>
    </row>
    <row r="37" spans="2:35" x14ac:dyDescent="0.35">
      <c r="B37" s="183" t="str">
        <f>'Bazis modell FES adatai'!B19</f>
        <v>I3-I5 Szakiskola, Szakmunkásképző iskola, Szakközépiskola</v>
      </c>
      <c r="C37" s="5">
        <f>'Bazis modell FES adatai'!H19</f>
        <v>140433</v>
      </c>
      <c r="D37" s="6">
        <f>'Bazis modell FES adatai'!I19</f>
        <v>608728</v>
      </c>
      <c r="E37" s="6">
        <f>'Bazis modell FES adatai'!J19</f>
        <v>306667</v>
      </c>
      <c r="F37" s="6">
        <f>'Bazis modell FES adatai'!K19</f>
        <v>1055828</v>
      </c>
      <c r="K37" s="47"/>
      <c r="L37" s="5">
        <f>'Bazis modell FES adatai'!X19</f>
        <v>158732</v>
      </c>
      <c r="M37" s="6">
        <f>'Bazis modell FES adatai'!Y19</f>
        <v>583903</v>
      </c>
      <c r="N37" s="6">
        <f>'Bazis modell FES adatai'!Z19</f>
        <v>297608</v>
      </c>
      <c r="O37" s="6">
        <f>'Bazis modell FES adatai'!AA19</f>
        <v>1040243</v>
      </c>
      <c r="P37" s="11"/>
      <c r="Q37" s="11"/>
      <c r="R37" s="11"/>
      <c r="S37" s="11"/>
      <c r="T37" s="47"/>
      <c r="U37" s="5">
        <f>'Bazis modell FES adatai'!AR19</f>
        <v>170074.58575880781</v>
      </c>
      <c r="V37" s="6">
        <f>'Bazis modell FES adatai'!AS19</f>
        <v>693698.49709116691</v>
      </c>
      <c r="W37" s="6">
        <f>'Bazis modell FES adatai'!AT19</f>
        <v>304906.27552307013</v>
      </c>
      <c r="X37" s="6">
        <f>'Bazis modell FES adatai'!AU19</f>
        <v>1168679.358373045</v>
      </c>
      <c r="Y37" s="11"/>
      <c r="Z37" s="11"/>
      <c r="AA37" s="11"/>
      <c r="AB37" s="11"/>
      <c r="AC37" s="11"/>
      <c r="AD37" s="5">
        <f>'Bazis modell FES adatai'!BL56*AD$17</f>
        <v>224253.95805452499</v>
      </c>
      <c r="AE37" s="6">
        <f>'Bazis modell FES adatai'!BM56*AE$17</f>
        <v>723028.62839963846</v>
      </c>
      <c r="AF37" s="6">
        <f>'Bazis modell FES adatai'!BN56*AF$17</f>
        <v>295076.24166601815</v>
      </c>
      <c r="AG37" s="6">
        <f t="shared" si="21"/>
        <v>1242358.8281201816</v>
      </c>
      <c r="AI37" s="11"/>
    </row>
    <row r="38" spans="2:35" x14ac:dyDescent="0.35">
      <c r="B38" s="183" t="str">
        <f>'Bazis modell FES adatai'!B20</f>
        <v>I6 Gimnázium</v>
      </c>
      <c r="C38" s="5">
        <f>'Bazis modell FES adatai'!H20</f>
        <v>58085</v>
      </c>
      <c r="D38" s="6">
        <f>'Bazis modell FES adatai'!I20</f>
        <v>117874</v>
      </c>
      <c r="E38" s="6">
        <f>'Bazis modell FES adatai'!J20</f>
        <v>154568</v>
      </c>
      <c r="F38" s="6">
        <f>'Bazis modell FES adatai'!K20</f>
        <v>330527</v>
      </c>
      <c r="K38" s="47"/>
      <c r="L38" s="5">
        <f>'Bazis modell FES adatai'!X20</f>
        <v>79103</v>
      </c>
      <c r="M38" s="6">
        <f>'Bazis modell FES adatai'!Y20</f>
        <v>160920</v>
      </c>
      <c r="N38" s="6">
        <f>'Bazis modell FES adatai'!Z20</f>
        <v>205952</v>
      </c>
      <c r="O38" s="6">
        <f>'Bazis modell FES adatai'!AA20</f>
        <v>445975</v>
      </c>
      <c r="P38" s="11"/>
      <c r="Q38" s="11"/>
      <c r="R38" s="11"/>
      <c r="S38" s="11"/>
      <c r="T38" s="47"/>
      <c r="U38" s="5">
        <f>'Bazis modell FES adatai'!AR20</f>
        <v>119972.6792791625</v>
      </c>
      <c r="V38" s="6">
        <f>'Bazis modell FES adatai'!AS20</f>
        <v>248037.64151760269</v>
      </c>
      <c r="W38" s="6">
        <f>'Bazis modell FES adatai'!AT20</f>
        <v>253721.07477594618</v>
      </c>
      <c r="X38" s="6">
        <f>'Bazis modell FES adatai'!AU20</f>
        <v>621731.39557271136</v>
      </c>
      <c r="Y38" s="11"/>
      <c r="Z38" s="11"/>
      <c r="AA38" s="11"/>
      <c r="AB38" s="11"/>
      <c r="AC38" s="11"/>
      <c r="AD38" s="5">
        <f>'Bazis modell FES adatai'!BL57*AD$17</f>
        <v>208391.22233754158</v>
      </c>
      <c r="AE38" s="6">
        <f>'Bazis modell FES adatai'!BM57*AE$17</f>
        <v>345100.23918206914</v>
      </c>
      <c r="AF38" s="6">
        <f>'Bazis modell FES adatai'!BN57*AF$17</f>
        <v>334197.56078860245</v>
      </c>
      <c r="AG38" s="6">
        <f t="shared" si="21"/>
        <v>887689.02230821317</v>
      </c>
      <c r="AI38" s="11"/>
    </row>
    <row r="39" spans="2:35" x14ac:dyDescent="0.35">
      <c r="B39" s="183" t="str">
        <f>'Bazis modell FES adatai'!B21</f>
        <v>I7 Technikum</v>
      </c>
      <c r="C39" s="5">
        <f>'Bazis modell FES adatai'!H21</f>
        <v>143226</v>
      </c>
      <c r="D39" s="6">
        <f>'Bazis modell FES adatai'!I21</f>
        <v>387406</v>
      </c>
      <c r="E39" s="6">
        <f>'Bazis modell FES adatai'!J21</f>
        <v>381006</v>
      </c>
      <c r="F39" s="6">
        <f>'Bazis modell FES adatai'!K21</f>
        <v>911638</v>
      </c>
      <c r="K39" s="194"/>
      <c r="L39" s="5">
        <f>'Bazis modell FES adatai'!X21</f>
        <v>142322</v>
      </c>
      <c r="M39" s="6">
        <f>'Bazis modell FES adatai'!Y21</f>
        <v>393523</v>
      </c>
      <c r="N39" s="6">
        <f>'Bazis modell FES adatai'!Z21</f>
        <v>377744</v>
      </c>
      <c r="O39" s="6">
        <f>'Bazis modell FES adatai'!AA21</f>
        <v>913589</v>
      </c>
      <c r="P39" s="11"/>
      <c r="Q39" s="11"/>
      <c r="R39" s="11"/>
      <c r="S39" s="11"/>
      <c r="T39" s="47"/>
      <c r="U39" s="5">
        <f>'Bazis modell FES adatai'!AR21</f>
        <v>148581.60886403886</v>
      </c>
      <c r="V39" s="6">
        <f>'Bazis modell FES adatai'!AS21</f>
        <v>415233.23099402816</v>
      </c>
      <c r="W39" s="6">
        <f>'Bazis modell FES adatai'!AT21</f>
        <v>375311.25422274653</v>
      </c>
      <c r="X39" s="6">
        <f>'Bazis modell FES adatai'!AU21</f>
        <v>939126.09408081346</v>
      </c>
      <c r="Y39" s="11"/>
      <c r="Z39" s="11"/>
      <c r="AA39" s="11"/>
      <c r="AB39" s="11"/>
      <c r="AC39" s="11"/>
      <c r="AD39" s="5">
        <f>'Bazis modell FES adatai'!BL58*AD$17</f>
        <v>171061.06490225627</v>
      </c>
      <c r="AE39" s="6">
        <f>'Bazis modell FES adatai'!BM58*AE$17</f>
        <v>404752.50850422296</v>
      </c>
      <c r="AF39" s="6">
        <f>'Bazis modell FES adatai'!BN58*AF$17</f>
        <v>350844.07609615644</v>
      </c>
      <c r="AG39" s="6">
        <f t="shared" si="21"/>
        <v>926657.6495026357</v>
      </c>
      <c r="AI39" s="11"/>
    </row>
    <row r="40" spans="2:35" x14ac:dyDescent="0.35">
      <c r="B40" s="183" t="str">
        <f>'Bazis modell FES adatai'!B22</f>
        <v>I8 Főiskola</v>
      </c>
      <c r="C40" s="5">
        <f>'Bazis modell FES adatai'!H22</f>
        <v>98060</v>
      </c>
      <c r="D40" s="6">
        <f>'Bazis modell FES adatai'!I22</f>
        <v>156438</v>
      </c>
      <c r="E40" s="6">
        <f>'Bazis modell FES adatai'!J22</f>
        <v>313223</v>
      </c>
      <c r="F40" s="6">
        <f>'Bazis modell FES adatai'!K22</f>
        <v>567721</v>
      </c>
      <c r="K40" s="194"/>
      <c r="L40" s="5">
        <f>'Bazis modell FES adatai'!X22</f>
        <v>120001</v>
      </c>
      <c r="M40" s="6">
        <f>'Bazis modell FES adatai'!Y22</f>
        <v>171703</v>
      </c>
      <c r="N40" s="6">
        <f>'Bazis modell FES adatai'!Z22</f>
        <v>357753</v>
      </c>
      <c r="O40" s="6">
        <f>'Bazis modell FES adatai'!AA22</f>
        <v>649457</v>
      </c>
      <c r="P40" s="11"/>
      <c r="Q40" s="11"/>
      <c r="R40" s="11"/>
      <c r="S40" s="11"/>
      <c r="T40" s="47"/>
      <c r="U40" s="5">
        <f>'Bazis modell FES adatai'!AR22</f>
        <v>134929.90859188893</v>
      </c>
      <c r="V40" s="6">
        <f>'Bazis modell FES adatai'!AS22</f>
        <v>210183.16515327847</v>
      </c>
      <c r="W40" s="6">
        <f>'Bazis modell FES adatai'!AT22</f>
        <v>360952.90117212397</v>
      </c>
      <c r="X40" s="6">
        <f>'Bazis modell FES adatai'!AU22</f>
        <v>706065.97491729143</v>
      </c>
      <c r="Y40" s="11"/>
      <c r="Z40" s="11"/>
      <c r="AA40" s="11"/>
      <c r="AB40" s="11"/>
      <c r="AC40" s="11"/>
      <c r="AD40" s="5">
        <f>'Bazis modell FES adatai'!BL59*AD$17</f>
        <v>192856.53550417558</v>
      </c>
      <c r="AE40" s="6">
        <f>'Bazis modell FES adatai'!BM59*AE$17</f>
        <v>233119.24252979536</v>
      </c>
      <c r="AF40" s="6">
        <f>'Bazis modell FES adatai'!BN59*AF$17</f>
        <v>380785.86263664928</v>
      </c>
      <c r="AG40" s="6">
        <f t="shared" si="21"/>
        <v>806761.64067062025</v>
      </c>
      <c r="AI40" s="11"/>
    </row>
    <row r="41" spans="2:35" x14ac:dyDescent="0.35">
      <c r="B41" s="183" t="str">
        <f>'Bazis modell FES adatai'!B23</f>
        <v>I9 Egyetem</v>
      </c>
      <c r="C41" s="5">
        <f>'Bazis modell FES adatai'!H23</f>
        <v>88580</v>
      </c>
      <c r="D41" s="6">
        <f>'Bazis modell FES adatai'!I23</f>
        <v>100912</v>
      </c>
      <c r="E41" s="6">
        <f>'Bazis modell FES adatai'!J23</f>
        <v>196600</v>
      </c>
      <c r="F41" s="6">
        <f>'Bazis modell FES adatai'!K23</f>
        <v>386092</v>
      </c>
      <c r="K41" s="194"/>
      <c r="L41" s="5">
        <f>'Bazis modell FES adatai'!X23</f>
        <v>100535</v>
      </c>
      <c r="M41" s="6">
        <f>'Bazis modell FES adatai'!Y23</f>
        <v>139513</v>
      </c>
      <c r="N41" s="6">
        <f>'Bazis modell FES adatai'!Z23</f>
        <v>224456</v>
      </c>
      <c r="O41" s="6">
        <f>'Bazis modell FES adatai'!AA23</f>
        <v>464504</v>
      </c>
      <c r="P41" s="11"/>
      <c r="Q41" s="11"/>
      <c r="R41" s="11"/>
      <c r="S41" s="11"/>
      <c r="T41" s="47"/>
      <c r="U41" s="5">
        <f>'Bazis modell FES adatai'!AR23</f>
        <v>107869.43575659933</v>
      </c>
      <c r="V41" s="6">
        <f>'Bazis modell FES adatai'!AS23</f>
        <v>188749.83600823343</v>
      </c>
      <c r="W41" s="6">
        <f>'Bazis modell FES adatai'!AT23</f>
        <v>260690.34460179662</v>
      </c>
      <c r="X41" s="6">
        <f>'Bazis modell FES adatai'!AU23</f>
        <v>557309.61636662937</v>
      </c>
      <c r="Y41" s="11"/>
      <c r="Z41" s="11"/>
      <c r="AA41" s="11"/>
      <c r="AB41" s="11"/>
      <c r="AC41" s="11"/>
      <c r="AD41" s="5">
        <f>'Bazis modell FES adatai'!BL60*AD$17</f>
        <v>149535.74670198589</v>
      </c>
      <c r="AE41" s="6">
        <f>'Bazis modell FES adatai'!BM60*AE$17</f>
        <v>244456.5479824729</v>
      </c>
      <c r="AF41" s="6">
        <f>'Bazis modell FES adatai'!BN60*AF$17</f>
        <v>312300.50823012396</v>
      </c>
      <c r="AG41" s="6">
        <f t="shared" si="21"/>
        <v>706292.80291458266</v>
      </c>
      <c r="AI41" s="11"/>
    </row>
    <row r="42" spans="2:35" x14ac:dyDescent="0.35">
      <c r="B42" s="183" t="str">
        <f>'Bazis modell FES adatai'!B24</f>
        <v>Összesen</v>
      </c>
      <c r="C42" s="5">
        <f>'Bazis modell FES adatai'!H24</f>
        <v>607388</v>
      </c>
      <c r="D42" s="6">
        <f>'Bazis modell FES adatai'!I24</f>
        <v>1573707</v>
      </c>
      <c r="E42" s="6">
        <f>'Bazis modell FES adatai'!J24</f>
        <v>1461462</v>
      </c>
      <c r="F42" s="6">
        <f>'Bazis modell FES adatai'!K24</f>
        <v>3642557</v>
      </c>
      <c r="K42" s="47"/>
      <c r="L42" s="5">
        <f>'Bazis modell FES adatai'!X24</f>
        <v>684960</v>
      </c>
      <c r="M42" s="6">
        <f>'Bazis modell FES adatai'!Y24</f>
        <v>1645696</v>
      </c>
      <c r="N42" s="6">
        <f>'Bazis modell FES adatai'!Z24</f>
        <v>1557068</v>
      </c>
      <c r="O42" s="6">
        <f>'Bazis modell FES adatai'!AA24</f>
        <v>3887724</v>
      </c>
      <c r="P42" s="11"/>
      <c r="Q42" s="11"/>
      <c r="R42" s="11"/>
      <c r="S42" s="11"/>
      <c r="T42" s="47"/>
      <c r="U42" s="5">
        <f>'Bazis modell FES adatai'!AR24</f>
        <v>775275.31625160587</v>
      </c>
      <c r="V42" s="6">
        <f>'Bazis modell FES adatai'!AS24</f>
        <v>1988102.2230568719</v>
      </c>
      <c r="W42" s="6">
        <f>'Bazis modell FES adatai'!AT24</f>
        <v>1653218.7249568829</v>
      </c>
      <c r="X42" s="6">
        <f>'Bazis modell FES adatai'!AU24</f>
        <v>4416596.2642653612</v>
      </c>
      <c r="Y42" s="11"/>
      <c r="Z42" s="11"/>
      <c r="AA42" s="11"/>
      <c r="AB42" s="11"/>
      <c r="AC42" s="11"/>
      <c r="AD42" s="5">
        <f>'Bazis modell FES adatai'!BL61*AD$17</f>
        <v>1072336.316060744</v>
      </c>
      <c r="AE42" s="6">
        <f>'Bazis modell FES adatai'!BM61*AE$17</f>
        <v>2201507.6387269911</v>
      </c>
      <c r="AF42" s="6">
        <f>'Bazis modell FES adatai'!BN61*AF$17</f>
        <v>1766280.0701152685</v>
      </c>
      <c r="AG42" s="6">
        <f t="shared" si="21"/>
        <v>5040124.0249030031</v>
      </c>
      <c r="AI42" s="11"/>
    </row>
    <row r="43" spans="2:35" x14ac:dyDescent="0.35">
      <c r="C43" s="199"/>
      <c r="D43" s="198"/>
      <c r="E43" s="198"/>
      <c r="K43" s="47"/>
      <c r="L43" s="10"/>
      <c r="M43" s="209"/>
      <c r="N43" s="209"/>
      <c r="O43" s="209"/>
      <c r="P43" s="11"/>
      <c r="Q43" s="11"/>
      <c r="R43" s="11"/>
      <c r="S43" s="11"/>
      <c r="T43" s="47"/>
      <c r="U43" s="11"/>
      <c r="V43" s="209"/>
      <c r="W43" s="209"/>
      <c r="X43" s="209"/>
      <c r="Y43" s="11"/>
      <c r="Z43" s="11"/>
      <c r="AA43" s="11"/>
      <c r="AB43" s="11"/>
      <c r="AC43" s="11"/>
      <c r="AD43" s="10"/>
      <c r="AE43" s="209"/>
      <c r="AF43" s="209"/>
      <c r="AG43" s="209"/>
      <c r="AH43" s="11"/>
      <c r="AI43" s="11"/>
    </row>
    <row r="44" spans="2:35" x14ac:dyDescent="0.35">
      <c r="C44" s="10"/>
      <c r="K44" s="47"/>
      <c r="L44" s="10"/>
      <c r="M44" s="209"/>
      <c r="N44" s="11"/>
      <c r="O44" s="11"/>
      <c r="P44" s="11"/>
      <c r="Q44" s="11"/>
      <c r="R44" s="11"/>
      <c r="S44" s="11"/>
      <c r="T44" s="47"/>
      <c r="U44" s="11"/>
      <c r="V44" s="11"/>
      <c r="W44" s="11"/>
      <c r="X44" s="11"/>
      <c r="Y44" s="11"/>
      <c r="Z44" s="11"/>
      <c r="AA44" s="11"/>
      <c r="AB44" s="11"/>
      <c r="AC44" s="11"/>
      <c r="AD44" s="10"/>
      <c r="AE44" s="11"/>
      <c r="AF44" s="11"/>
      <c r="AG44" s="11"/>
      <c r="AH44" s="11"/>
      <c r="AI44" s="11"/>
    </row>
    <row r="45" spans="2:35" x14ac:dyDescent="0.35">
      <c r="C45" s="10"/>
      <c r="K45" s="47"/>
      <c r="L45" s="10"/>
      <c r="M45" s="209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</row>
    <row r="46" spans="2:35" x14ac:dyDescent="0.35">
      <c r="C46" s="5"/>
      <c r="D46" s="3"/>
      <c r="E46" s="3"/>
      <c r="K46" s="47"/>
      <c r="L46" s="10"/>
      <c r="M46" s="209"/>
      <c r="N46" s="3"/>
      <c r="O46" s="3"/>
      <c r="U46" s="11"/>
      <c r="V46" s="6"/>
      <c r="W46" s="6"/>
      <c r="X46" s="6"/>
      <c r="Y46" s="11"/>
      <c r="Z46" s="11"/>
      <c r="AA46" s="11"/>
      <c r="AB46" s="11"/>
      <c r="AC46" s="11"/>
      <c r="AD46" s="11"/>
      <c r="AE46" s="6"/>
      <c r="AF46" s="6"/>
      <c r="AG46" s="6"/>
      <c r="AH46" s="11"/>
      <c r="AI46" s="11"/>
    </row>
    <row r="47" spans="2:35" x14ac:dyDescent="0.35">
      <c r="C47" s="5"/>
      <c r="D47" s="3"/>
      <c r="E47" s="3"/>
      <c r="K47" s="47"/>
      <c r="L47" s="10"/>
      <c r="M47" s="209"/>
      <c r="N47" s="3"/>
      <c r="O47" s="3"/>
      <c r="U47" s="11"/>
      <c r="V47" s="6"/>
      <c r="W47" s="6"/>
      <c r="X47" s="6"/>
      <c r="Y47" s="11"/>
      <c r="Z47" s="11"/>
      <c r="AA47" s="11"/>
      <c r="AB47" s="11"/>
      <c r="AC47" s="11"/>
      <c r="AD47" s="11"/>
      <c r="AE47" s="6"/>
      <c r="AF47" s="6"/>
      <c r="AG47" s="6"/>
      <c r="AH47" s="11"/>
      <c r="AI47" s="11"/>
    </row>
    <row r="48" spans="2:35" x14ac:dyDescent="0.35">
      <c r="C48" s="5"/>
      <c r="D48" s="3"/>
      <c r="E48" s="3"/>
      <c r="K48" s="47"/>
      <c r="L48" s="10"/>
      <c r="M48" s="209"/>
      <c r="N48" s="3"/>
      <c r="O48" s="3"/>
      <c r="U48" s="11"/>
      <c r="V48" s="6"/>
      <c r="W48" s="6"/>
      <c r="X48" s="6"/>
      <c r="Y48" s="11"/>
      <c r="Z48" s="11"/>
      <c r="AA48" s="11"/>
      <c r="AB48" s="11"/>
      <c r="AC48" s="11"/>
      <c r="AD48" s="11"/>
      <c r="AE48" s="6"/>
      <c r="AF48" s="6"/>
      <c r="AG48" s="6"/>
      <c r="AH48" s="11"/>
      <c r="AI48" s="11"/>
    </row>
    <row r="49" spans="3:38" x14ac:dyDescent="0.35">
      <c r="C49" s="5"/>
      <c r="D49" s="3"/>
      <c r="E49" s="3"/>
      <c r="K49" s="47"/>
      <c r="L49" s="10"/>
      <c r="M49" s="209"/>
      <c r="N49" s="3"/>
      <c r="O49" s="3"/>
      <c r="U49" s="11"/>
      <c r="V49" s="6"/>
      <c r="W49" s="6"/>
      <c r="X49" s="6"/>
      <c r="Y49" s="11"/>
      <c r="Z49" s="11"/>
      <c r="AA49" s="11"/>
      <c r="AB49" s="11"/>
      <c r="AC49" s="11"/>
      <c r="AD49" s="11"/>
      <c r="AE49" s="6"/>
      <c r="AF49" s="6"/>
      <c r="AG49" s="6"/>
      <c r="AH49" s="11"/>
      <c r="AI49" s="11"/>
    </row>
    <row r="50" spans="3:38" x14ac:dyDescent="0.35">
      <c r="C50" s="10"/>
      <c r="K50" s="47"/>
      <c r="L50" s="10"/>
      <c r="M50" s="209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</row>
    <row r="51" spans="3:38" x14ac:dyDescent="0.35">
      <c r="C51" s="10"/>
      <c r="K51" s="47"/>
      <c r="L51" s="10"/>
      <c r="M51" s="209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</row>
    <row r="52" spans="3:38" x14ac:dyDescent="0.35">
      <c r="C52" s="197"/>
      <c r="D52" s="196"/>
      <c r="E52" s="196"/>
      <c r="F52" s="196"/>
      <c r="K52" s="47"/>
      <c r="L52" s="10"/>
      <c r="M52" s="209"/>
      <c r="N52" s="196"/>
      <c r="O52" s="196"/>
      <c r="P52" s="196"/>
      <c r="U52" s="11"/>
      <c r="V52" s="196"/>
      <c r="W52" s="196"/>
      <c r="X52" s="196"/>
      <c r="Y52" s="196"/>
      <c r="Z52" s="11"/>
      <c r="AA52" s="11"/>
      <c r="AB52" s="11"/>
      <c r="AC52" s="11"/>
      <c r="AD52" s="11"/>
      <c r="AE52" s="196"/>
      <c r="AF52" s="196"/>
      <c r="AG52" s="196"/>
      <c r="AH52" s="196"/>
      <c r="AI52" s="11"/>
    </row>
    <row r="53" spans="3:38" x14ac:dyDescent="0.35">
      <c r="C53" s="201"/>
      <c r="D53" s="200"/>
      <c r="E53" s="200"/>
      <c r="F53" s="196"/>
      <c r="K53" s="47"/>
      <c r="L53" s="10"/>
      <c r="M53" s="209"/>
      <c r="N53" s="200"/>
      <c r="O53" s="200"/>
      <c r="P53" s="196"/>
      <c r="U53" s="11"/>
      <c r="V53" s="218"/>
      <c r="W53" s="218"/>
      <c r="X53" s="218"/>
      <c r="Y53" s="196"/>
      <c r="Z53" s="11"/>
      <c r="AA53" s="11"/>
      <c r="AB53" s="11"/>
      <c r="AC53" s="11"/>
      <c r="AD53" s="11"/>
      <c r="AE53" s="218"/>
      <c r="AF53" s="218"/>
      <c r="AG53" s="218"/>
      <c r="AH53" s="196"/>
      <c r="AI53" s="11"/>
    </row>
    <row r="54" spans="3:38" x14ac:dyDescent="0.35">
      <c r="C54" s="5"/>
      <c r="D54" s="3"/>
      <c r="E54" s="3"/>
      <c r="F54" s="3"/>
      <c r="K54" s="47"/>
      <c r="L54" s="10"/>
      <c r="M54" s="209"/>
      <c r="N54" s="3"/>
      <c r="O54" s="3"/>
      <c r="P54" s="3"/>
      <c r="U54" s="11"/>
      <c r="V54" s="6"/>
      <c r="W54" s="6"/>
      <c r="X54" s="6"/>
      <c r="Y54" s="6"/>
      <c r="Z54" s="11"/>
      <c r="AA54" s="11"/>
      <c r="AB54" s="11"/>
      <c r="AC54" s="11"/>
      <c r="AD54" s="11"/>
      <c r="AE54" s="6"/>
      <c r="AF54" s="6"/>
      <c r="AG54" s="6"/>
      <c r="AH54" s="6"/>
      <c r="AI54" s="11"/>
    </row>
    <row r="55" spans="3:38" x14ac:dyDescent="0.35">
      <c r="C55" s="5"/>
      <c r="D55" s="3"/>
      <c r="E55" s="3"/>
      <c r="K55" s="47"/>
      <c r="L55" s="10"/>
      <c r="M55" s="209"/>
      <c r="N55" s="3"/>
      <c r="O55" s="3"/>
      <c r="U55" s="11"/>
      <c r="V55" s="6"/>
      <c r="W55" s="6"/>
      <c r="X55" s="6"/>
      <c r="Y55" s="11"/>
      <c r="Z55" s="11"/>
      <c r="AA55" s="11"/>
      <c r="AB55" s="11"/>
      <c r="AC55" s="11"/>
      <c r="AD55" s="11"/>
      <c r="AE55" s="6"/>
      <c r="AF55" s="6"/>
      <c r="AG55" s="6"/>
      <c r="AH55" s="11"/>
      <c r="AI55" s="11"/>
    </row>
    <row r="56" spans="3:38" x14ac:dyDescent="0.35">
      <c r="C56" s="5"/>
      <c r="D56" s="3"/>
      <c r="E56" s="3"/>
      <c r="F56" s="3"/>
      <c r="K56" s="47"/>
      <c r="L56" s="10"/>
      <c r="M56" s="209"/>
      <c r="N56" s="3"/>
      <c r="O56" s="3"/>
      <c r="P56" s="3"/>
      <c r="U56" s="11"/>
      <c r="V56" s="6"/>
      <c r="W56" s="6"/>
      <c r="X56" s="6"/>
      <c r="Y56" s="6"/>
      <c r="Z56" s="11"/>
      <c r="AA56" s="11"/>
      <c r="AB56" s="11"/>
      <c r="AC56" s="11"/>
      <c r="AD56" s="11"/>
      <c r="AE56" s="6"/>
      <c r="AF56" s="6"/>
      <c r="AG56" s="6"/>
      <c r="AH56" s="6"/>
      <c r="AI56" s="11"/>
    </row>
    <row r="57" spans="3:38" x14ac:dyDescent="0.35">
      <c r="C57" s="10"/>
      <c r="K57" s="47"/>
      <c r="L57" s="10"/>
      <c r="M57" s="209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</row>
    <row r="58" spans="3:38" x14ac:dyDescent="0.35">
      <c r="C58" s="10"/>
      <c r="K58" s="47"/>
      <c r="L58" s="10"/>
      <c r="M58" s="209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</row>
    <row r="59" spans="3:38" x14ac:dyDescent="0.35">
      <c r="C59" s="5"/>
      <c r="D59" s="3"/>
      <c r="E59" s="3"/>
      <c r="F59" s="3"/>
      <c r="J59" s="3"/>
      <c r="K59" s="195"/>
      <c r="L59" s="10"/>
      <c r="M59" s="209"/>
      <c r="N59" s="3"/>
      <c r="O59" s="3"/>
      <c r="P59" s="3"/>
      <c r="T59" s="3"/>
      <c r="U59" s="6"/>
      <c r="V59" s="6"/>
      <c r="W59" s="6"/>
      <c r="X59" s="6"/>
      <c r="Y59" s="6"/>
      <c r="Z59" s="11"/>
      <c r="AA59" s="11"/>
      <c r="AB59" s="11"/>
      <c r="AC59" s="6"/>
      <c r="AD59" s="6"/>
      <c r="AE59" s="6"/>
      <c r="AF59" s="6"/>
      <c r="AG59" s="6"/>
      <c r="AH59" s="6"/>
      <c r="AI59" s="11"/>
      <c r="AL59" s="3"/>
    </row>
    <row r="60" spans="3:38" x14ac:dyDescent="0.35">
      <c r="C60" s="5"/>
      <c r="D60" s="3"/>
      <c r="E60" s="3"/>
      <c r="F60" s="3"/>
      <c r="J60" s="3"/>
      <c r="K60" s="195"/>
      <c r="L60" s="10"/>
      <c r="M60" s="209"/>
      <c r="N60" s="3"/>
      <c r="O60" s="3"/>
      <c r="P60" s="3"/>
      <c r="T60" s="3"/>
      <c r="U60" s="6"/>
      <c r="V60" s="6"/>
      <c r="W60" s="6"/>
      <c r="X60" s="6"/>
      <c r="Y60" s="6"/>
      <c r="Z60" s="11"/>
      <c r="AA60" s="11"/>
      <c r="AB60" s="11"/>
      <c r="AC60" s="6"/>
      <c r="AD60" s="6"/>
      <c r="AE60" s="6"/>
      <c r="AF60" s="6"/>
      <c r="AG60" s="6"/>
      <c r="AH60" s="6"/>
      <c r="AI60" s="11"/>
      <c r="AL60" s="3"/>
    </row>
    <row r="61" spans="3:38" x14ac:dyDescent="0.35">
      <c r="C61" s="5"/>
      <c r="D61" s="3"/>
      <c r="E61" s="3"/>
      <c r="F61" s="3"/>
      <c r="J61" s="3"/>
      <c r="K61" s="195"/>
      <c r="L61" s="10"/>
      <c r="M61" s="209"/>
      <c r="N61" s="3"/>
      <c r="O61" s="3"/>
      <c r="P61" s="3"/>
      <c r="T61" s="3"/>
      <c r="U61" s="6"/>
      <c r="V61" s="6"/>
      <c r="W61" s="6"/>
      <c r="X61" s="6"/>
      <c r="Y61" s="6"/>
      <c r="Z61" s="11"/>
      <c r="AA61" s="11"/>
      <c r="AB61" s="11"/>
      <c r="AC61" s="6"/>
      <c r="AD61" s="6"/>
      <c r="AE61" s="6"/>
      <c r="AF61" s="6"/>
      <c r="AG61" s="6"/>
      <c r="AH61" s="6"/>
      <c r="AI61" s="11"/>
      <c r="AL61" s="3"/>
    </row>
    <row r="62" spans="3:38" x14ac:dyDescent="0.35">
      <c r="C62" s="10"/>
      <c r="F62" s="3"/>
      <c r="J62" s="3"/>
      <c r="K62" s="195"/>
      <c r="L62" s="10"/>
      <c r="M62" s="209"/>
      <c r="P62" s="3"/>
      <c r="T62" s="3"/>
      <c r="U62" s="6"/>
      <c r="V62" s="11"/>
      <c r="W62" s="11"/>
      <c r="X62" s="11"/>
      <c r="Y62" s="6"/>
      <c r="Z62" s="11"/>
      <c r="AA62" s="11"/>
      <c r="AB62" s="11"/>
      <c r="AC62" s="6"/>
      <c r="AD62" s="6"/>
      <c r="AE62" s="11"/>
      <c r="AF62" s="11"/>
      <c r="AG62" s="11"/>
      <c r="AH62" s="6"/>
      <c r="AI62" s="11"/>
      <c r="AL62" s="3"/>
    </row>
    <row r="63" spans="3:38" x14ac:dyDescent="0.35">
      <c r="C63" s="10"/>
      <c r="F63" s="3"/>
      <c r="J63" s="3"/>
      <c r="K63" s="195"/>
      <c r="L63" s="10"/>
      <c r="M63" s="209"/>
      <c r="P63" s="3"/>
      <c r="T63" s="3"/>
      <c r="U63" s="6"/>
      <c r="V63" s="11"/>
      <c r="W63" s="11"/>
      <c r="X63" s="11"/>
      <c r="Y63" s="6"/>
      <c r="Z63" s="11"/>
      <c r="AA63" s="11"/>
      <c r="AB63" s="11"/>
      <c r="AC63" s="6"/>
      <c r="AD63" s="6"/>
      <c r="AE63" s="11"/>
      <c r="AF63" s="11"/>
      <c r="AG63" s="11"/>
      <c r="AH63" s="6"/>
      <c r="AI63" s="11"/>
      <c r="AL63" s="3"/>
    </row>
    <row r="64" spans="3:38" x14ac:dyDescent="0.35">
      <c r="C64" s="193"/>
      <c r="D64" s="48"/>
      <c r="E64" s="48"/>
      <c r="J64" s="3"/>
      <c r="K64" s="47"/>
      <c r="L64" s="10"/>
      <c r="M64" s="209"/>
      <c r="N64" s="48"/>
      <c r="O64" s="48"/>
      <c r="T64" s="3"/>
      <c r="U64" s="6"/>
      <c r="V64" s="48"/>
      <c r="W64" s="48"/>
      <c r="X64" s="48"/>
      <c r="Y64" s="11"/>
      <c r="Z64" s="11"/>
      <c r="AA64" s="11"/>
      <c r="AB64" s="11"/>
      <c r="AC64" s="6"/>
      <c r="AD64" s="6"/>
      <c r="AE64" s="48"/>
      <c r="AF64" s="48"/>
      <c r="AG64" s="48"/>
      <c r="AH64" s="11"/>
      <c r="AI64" s="11"/>
      <c r="AL64" s="3"/>
    </row>
    <row r="65" spans="3:38" x14ac:dyDescent="0.35">
      <c r="C65" s="5"/>
      <c r="D65" s="3"/>
      <c r="E65" s="3"/>
      <c r="J65" s="192"/>
      <c r="K65" s="191"/>
      <c r="L65" s="10"/>
      <c r="M65" s="209"/>
      <c r="N65" s="3"/>
      <c r="O65" s="3"/>
      <c r="T65" s="192"/>
      <c r="U65" s="217"/>
      <c r="V65" s="6"/>
      <c r="W65" s="6"/>
      <c r="X65" s="6"/>
      <c r="Y65" s="11"/>
      <c r="Z65" s="11"/>
      <c r="AA65" s="11"/>
      <c r="AB65" s="11"/>
      <c r="AC65" s="217"/>
      <c r="AD65" s="217"/>
      <c r="AE65" s="6"/>
      <c r="AF65" s="6"/>
      <c r="AG65" s="6"/>
      <c r="AH65" s="11"/>
      <c r="AI65" s="11"/>
      <c r="AL65" s="192"/>
    </row>
    <row r="66" spans="3:38" x14ac:dyDescent="0.35">
      <c r="L66" s="10"/>
      <c r="M66" s="209"/>
      <c r="U66" s="11"/>
      <c r="V66" s="11"/>
      <c r="W66" s="11"/>
      <c r="X66" s="11"/>
      <c r="Y66" s="11"/>
      <c r="Z66" s="11"/>
      <c r="AA66" s="11"/>
      <c r="AB66" s="11"/>
      <c r="AC66" s="11"/>
    </row>
    <row r="67" spans="3:38" x14ac:dyDescent="0.35">
      <c r="L67" s="10"/>
      <c r="M67" s="209"/>
      <c r="U67" s="11"/>
      <c r="V67" s="11"/>
      <c r="W67" s="11"/>
      <c r="X67" s="11"/>
      <c r="Y67" s="11"/>
      <c r="Z67" s="11"/>
      <c r="AA67" s="11"/>
      <c r="AB67" s="11"/>
      <c r="AC67" s="11"/>
    </row>
    <row r="68" spans="3:38" x14ac:dyDescent="0.35">
      <c r="L68" s="10"/>
      <c r="M68" s="209"/>
      <c r="U68" s="11"/>
      <c r="V68" s="11"/>
      <c r="W68" s="11"/>
      <c r="X68" s="11"/>
      <c r="Y68" s="11"/>
      <c r="Z68" s="11"/>
      <c r="AA68" s="11"/>
      <c r="AB68" s="11"/>
      <c r="AC68" s="11"/>
    </row>
    <row r="69" spans="3:38" x14ac:dyDescent="0.35">
      <c r="L69" s="10"/>
      <c r="M69" s="209"/>
      <c r="U69" s="11"/>
      <c r="V69" s="11"/>
      <c r="W69" s="11"/>
      <c r="X69" s="11"/>
      <c r="Y69" s="11"/>
      <c r="Z69" s="11"/>
      <c r="AA69" s="11"/>
      <c r="AB69" s="11"/>
      <c r="AC69" s="11"/>
    </row>
  </sheetData>
  <sheetProtection algorithmName="SHA-512" hashValue="ImYoK5xv/QJRq41gT7hc9R3WcLWLD3vKH/W1doy1s0qiQFmDmXPpPWmDnR41IleKOUgTs5hEbxZG09c0XVMbRg==" saltValue="5rWvsRNdDe2gofHFdM5A1g==" spinCount="100000" sheet="1" formatCells="0" formatColumns="0" formatRows="0" insertColumns="0" insertRows="0" insertHyperlinks="0" deleteColumns="0" deleteRows="0"/>
  <mergeCells count="8">
    <mergeCell ref="AE2:AL2"/>
    <mergeCell ref="AE3:AL3"/>
    <mergeCell ref="L2:T2"/>
    <mergeCell ref="L3:T3"/>
    <mergeCell ref="C2:K2"/>
    <mergeCell ref="C3:K3"/>
    <mergeCell ref="V2:AC2"/>
    <mergeCell ref="V3:AC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E4DBCF-F4A5-4F5C-B103-87E73362FCFA}">
  <dimension ref="B2:AL168"/>
  <sheetViews>
    <sheetView zoomScale="60" zoomScaleNormal="60" workbookViewId="0">
      <selection activeCell="H15" sqref="H15"/>
    </sheetView>
  </sheetViews>
  <sheetFormatPr defaultRowHeight="14.5" x14ac:dyDescent="0.35"/>
  <cols>
    <col min="3" max="3" width="5.54296875" bestFit="1" customWidth="1"/>
    <col min="4" max="4" width="15" customWidth="1"/>
    <col min="5" max="7" width="10.7265625" customWidth="1"/>
    <col min="8" max="8" width="12" style="183" bestFit="1" customWidth="1"/>
    <col min="9" max="11" width="10.7265625" customWidth="1"/>
    <col min="12" max="12" width="12" style="183" bestFit="1" customWidth="1"/>
    <col min="13" max="16" width="10.7265625" customWidth="1"/>
    <col min="18" max="18" width="8.81640625" style="183"/>
    <col min="19" max="19" width="15.7265625" bestFit="1" customWidth="1"/>
    <col min="20" max="23" width="10.7265625" customWidth="1"/>
    <col min="28" max="31" width="10.7265625" style="183" customWidth="1"/>
    <col min="34" max="34" width="31.1796875" bestFit="1" customWidth="1"/>
  </cols>
  <sheetData>
    <row r="2" spans="2:16" x14ac:dyDescent="0.35">
      <c r="B2" s="354"/>
      <c r="C2" s="354"/>
      <c r="D2" s="354"/>
      <c r="E2" s="354" t="s">
        <v>1152</v>
      </c>
      <c r="F2" s="354"/>
      <c r="G2" s="354"/>
      <c r="H2" s="354"/>
      <c r="I2" s="354" t="s">
        <v>1153</v>
      </c>
      <c r="J2" s="354"/>
      <c r="K2" s="354"/>
      <c r="L2" s="354"/>
      <c r="M2" s="354" t="s">
        <v>1155</v>
      </c>
      <c r="N2" s="354"/>
      <c r="O2" s="354"/>
      <c r="P2" s="354"/>
    </row>
    <row r="3" spans="2:16" ht="29" x14ac:dyDescent="0.35">
      <c r="B3" s="354"/>
      <c r="C3" s="354"/>
      <c r="D3" s="354"/>
      <c r="E3" s="189" t="s">
        <v>0</v>
      </c>
      <c r="F3" s="189" t="s">
        <v>1</v>
      </c>
      <c r="G3" s="189" t="s">
        <v>1154</v>
      </c>
      <c r="H3" s="189" t="s">
        <v>21</v>
      </c>
      <c r="I3" s="189" t="str">
        <f>E3</f>
        <v>Upstream</v>
      </c>
      <c r="J3" s="189" t="str">
        <f t="shared" ref="J3:L3" si="0">F3</f>
        <v>Gyártás</v>
      </c>
      <c r="K3" s="189" t="str">
        <f t="shared" si="0"/>
        <v>Down-stream</v>
      </c>
      <c r="L3" s="189" t="str">
        <f t="shared" si="0"/>
        <v>Összesen</v>
      </c>
      <c r="M3" s="189" t="str">
        <f>I3</f>
        <v>Upstream</v>
      </c>
      <c r="N3" s="189" t="str">
        <f t="shared" ref="N3" si="1">J3</f>
        <v>Gyártás</v>
      </c>
      <c r="O3" s="189" t="str">
        <f t="shared" ref="O3:P3" si="2">K3</f>
        <v>Down-stream</v>
      </c>
      <c r="P3" s="189" t="str">
        <f t="shared" si="2"/>
        <v>Összesen</v>
      </c>
    </row>
    <row r="4" spans="2:16" s="183" customFormat="1" x14ac:dyDescent="0.35">
      <c r="B4" s="10" t="s">
        <v>91</v>
      </c>
      <c r="C4" s="11"/>
      <c r="D4" s="11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25"/>
    </row>
    <row r="5" spans="2:16" s="183" customFormat="1" x14ac:dyDescent="0.35">
      <c r="B5" s="10"/>
      <c r="C5" s="11">
        <v>2011</v>
      </c>
      <c r="D5" s="11" t="s">
        <v>1180</v>
      </c>
      <c r="E5" s="222">
        <f>'Bázis modell AKM-ei'!L38/10^3</f>
        <v>10450.2504978325</v>
      </c>
      <c r="F5" s="222">
        <f>'Bázis modell AKM-ei'!M38/10^3</f>
        <v>42622.860868872216</v>
      </c>
      <c r="G5" s="222">
        <f>'Bázis modell AKM-ei'!N38/10^3</f>
        <v>11024.444214383318</v>
      </c>
      <c r="H5" s="222">
        <f>'Bázis modell AKM-ei'!O38/10^3</f>
        <v>64097.55558108804</v>
      </c>
      <c r="I5" s="222">
        <f>E5</f>
        <v>10450.2504978325</v>
      </c>
      <c r="J5" s="222">
        <f t="shared" ref="J5:L5" si="3">F5</f>
        <v>42622.860868872216</v>
      </c>
      <c r="K5" s="222">
        <f t="shared" si="3"/>
        <v>11024.444214383318</v>
      </c>
      <c r="L5" s="222">
        <f t="shared" si="3"/>
        <v>64097.55558108804</v>
      </c>
      <c r="M5" s="222">
        <f>I5-E5</f>
        <v>0</v>
      </c>
      <c r="N5" s="222">
        <f t="shared" ref="N5:P5" si="4">J5-F5</f>
        <v>0</v>
      </c>
      <c r="O5" s="222">
        <f t="shared" si="4"/>
        <v>0</v>
      </c>
      <c r="P5" s="226">
        <f t="shared" si="4"/>
        <v>0</v>
      </c>
    </row>
    <row r="6" spans="2:16" s="183" customFormat="1" x14ac:dyDescent="0.35">
      <c r="B6" s="10"/>
      <c r="C6" s="11">
        <v>2015</v>
      </c>
      <c r="D6" s="11" t="str">
        <f>D5</f>
        <v>Mrd. FT</v>
      </c>
      <c r="E6" s="222">
        <f>'Bázis modell AKM-ei'!AV38/10^3</f>
        <v>11168.233469879196</v>
      </c>
      <c r="F6" s="222">
        <f>'Bázis modell AKM-ei'!AW38/10^3</f>
        <v>46287.956866357308</v>
      </c>
      <c r="G6" s="222">
        <f>'Bázis modell AKM-ei'!AX38/10^3</f>
        <v>12128.128727673895</v>
      </c>
      <c r="H6" s="222">
        <f>'Bázis modell AKM-ei'!AY38/10^3</f>
        <v>69584.3190639104</v>
      </c>
      <c r="I6" s="222">
        <f t="shared" ref="I6:I7" si="5">E6</f>
        <v>11168.233469879196</v>
      </c>
      <c r="J6" s="222">
        <f t="shared" ref="J6:J7" si="6">F6</f>
        <v>46287.956866357308</v>
      </c>
      <c r="K6" s="222">
        <f t="shared" ref="K6:K7" si="7">G6</f>
        <v>12128.128727673895</v>
      </c>
      <c r="L6" s="222">
        <f t="shared" ref="L6:L7" si="8">H6</f>
        <v>69584.3190639104</v>
      </c>
      <c r="M6" s="222">
        <f t="shared" ref="M6:M8" si="9">I6-E6</f>
        <v>0</v>
      </c>
      <c r="N6" s="222">
        <f t="shared" ref="N6:N8" si="10">J6-F6</f>
        <v>0</v>
      </c>
      <c r="O6" s="222">
        <f t="shared" ref="O6:O8" si="11">K6-G6</f>
        <v>0</v>
      </c>
      <c r="P6" s="226">
        <f t="shared" ref="P6:P8" si="12">L6-H6</f>
        <v>0</v>
      </c>
    </row>
    <row r="7" spans="2:16" s="183" customFormat="1" x14ac:dyDescent="0.35">
      <c r="B7" s="10"/>
      <c r="C7" s="11">
        <v>2020</v>
      </c>
      <c r="D7" s="11" t="str">
        <f t="shared" ref="D7:D8" si="13">D6</f>
        <v>Mrd. FT</v>
      </c>
      <c r="E7" s="222">
        <f>'Bázis modell AKM-ei'!CO38/10^3</f>
        <v>13594.544507270384</v>
      </c>
      <c r="F7" s="222">
        <f>'Bázis modell AKM-ei'!CP38/10^3</f>
        <v>57460.90112016262</v>
      </c>
      <c r="G7" s="222">
        <f>'Bázis modell AKM-ei'!CQ38/10^3</f>
        <v>14408.297559468623</v>
      </c>
      <c r="H7" s="222">
        <f>'Bázis modell AKM-ei'!CR38/10^3</f>
        <v>85463.743186901629</v>
      </c>
      <c r="I7" s="222">
        <f t="shared" si="5"/>
        <v>13594.544507270384</v>
      </c>
      <c r="J7" s="222">
        <f t="shared" si="6"/>
        <v>57460.90112016262</v>
      </c>
      <c r="K7" s="222">
        <f t="shared" si="7"/>
        <v>14408.297559468623</v>
      </c>
      <c r="L7" s="222">
        <f t="shared" si="8"/>
        <v>85463.743186901629</v>
      </c>
      <c r="M7" s="222">
        <f t="shared" si="9"/>
        <v>0</v>
      </c>
      <c r="N7" s="222">
        <f t="shared" si="10"/>
        <v>0</v>
      </c>
      <c r="O7" s="222">
        <f t="shared" si="11"/>
        <v>0</v>
      </c>
      <c r="P7" s="226">
        <f t="shared" si="12"/>
        <v>0</v>
      </c>
    </row>
    <row r="8" spans="2:16" s="183" customFormat="1" x14ac:dyDescent="0.35">
      <c r="B8" s="10"/>
      <c r="C8" s="11">
        <v>2025</v>
      </c>
      <c r="D8" s="11" t="str">
        <f t="shared" si="13"/>
        <v>Mrd. FT</v>
      </c>
      <c r="E8" s="222">
        <f>'Bázis modell AKM-ei'!EH38/10^3</f>
        <v>16670.447292961599</v>
      </c>
      <c r="F8" s="222">
        <f>'Bázis modell AKM-ei'!EI38/10^3</f>
        <v>70912.715583415527</v>
      </c>
      <c r="G8" s="222">
        <f>'Bázis modell AKM-ei'!EJ38/10^3</f>
        <v>17052.616666153455</v>
      </c>
      <c r="H8" s="222">
        <f>'Bázis modell AKM-ei'!EK38/10^3</f>
        <v>104635.77954253058</v>
      </c>
      <c r="I8" s="222">
        <f>'Előrejelzési variáns'!AD17/10^3</f>
        <v>19997.77531102861</v>
      </c>
      <c r="J8" s="222">
        <f>'Előrejelzési variáns'!AE17/10^3</f>
        <v>66912.535669385063</v>
      </c>
      <c r="K8" s="222">
        <f>'Előrejelzési variáns'!AF17/10^3</f>
        <v>17144.083667346804</v>
      </c>
      <c r="L8" s="222">
        <f>'Előrejelzési variáns'!AG17/10^3</f>
        <v>104054.39464776048</v>
      </c>
      <c r="M8" s="222">
        <f t="shared" si="9"/>
        <v>3327.3280180670117</v>
      </c>
      <c r="N8" s="222">
        <f t="shared" si="10"/>
        <v>-4000.1799140304647</v>
      </c>
      <c r="O8" s="222">
        <f t="shared" si="11"/>
        <v>91.467001193348551</v>
      </c>
      <c r="P8" s="226">
        <f t="shared" si="12"/>
        <v>-581.38489477010444</v>
      </c>
    </row>
    <row r="9" spans="2:16" s="183" customFormat="1" x14ac:dyDescent="0.35">
      <c r="B9" s="10"/>
      <c r="C9" s="240" t="s">
        <v>65</v>
      </c>
      <c r="D9" s="239" t="s">
        <v>1179</v>
      </c>
      <c r="E9" s="220">
        <f>E8/E7</f>
        <v>1.2262600842599924</v>
      </c>
      <c r="F9" s="220">
        <f t="shared" ref="F9" si="14">F8/F7</f>
        <v>1.2341037853743779</v>
      </c>
      <c r="G9" s="220">
        <f t="shared" ref="G9" si="15">G8/G7</f>
        <v>1.1835275191791885</v>
      </c>
      <c r="H9" s="220">
        <f t="shared" ref="H9" si="16">H8/H7</f>
        <v>1.2243294716649773</v>
      </c>
      <c r="I9" s="220">
        <f t="shared" ref="I9" si="17">I8/I7</f>
        <v>1.4710147368551971</v>
      </c>
      <c r="J9" s="220">
        <f t="shared" ref="J9" si="18">J8/J7</f>
        <v>1.1644881017347277</v>
      </c>
      <c r="K9" s="220">
        <f t="shared" ref="K9" si="19">K8/K7</f>
        <v>1.1898757362961538</v>
      </c>
      <c r="L9" s="220">
        <f t="shared" ref="L9" si="20">L8/L7</f>
        <v>1.2175267636031661</v>
      </c>
      <c r="M9" s="214"/>
      <c r="N9" s="214"/>
      <c r="O9" s="214"/>
      <c r="P9" s="225"/>
    </row>
    <row r="10" spans="2:16" s="183" customFormat="1" x14ac:dyDescent="0.35">
      <c r="B10" s="10" t="s">
        <v>1175</v>
      </c>
      <c r="C10" s="11"/>
      <c r="D10" s="11"/>
      <c r="E10" s="224">
        <f>(E8/E7)^(1/($C$8-$C$7))-1</f>
        <v>4.1637288522582416E-2</v>
      </c>
      <c r="F10" s="224">
        <f t="shared" ref="F10:L10" si="21">(F8/F7)^(1/($C$8-$C$7))-1</f>
        <v>4.296644654027304E-2</v>
      </c>
      <c r="G10" s="224">
        <f t="shared" si="21"/>
        <v>3.4274154213236319E-2</v>
      </c>
      <c r="H10" s="224">
        <f t="shared" si="21"/>
        <v>4.1309092941420822E-2</v>
      </c>
      <c r="I10" s="224">
        <f t="shared" si="21"/>
        <v>8.0247835327221351E-2</v>
      </c>
      <c r="J10" s="224">
        <f t="shared" si="21"/>
        <v>3.0924856783289822E-2</v>
      </c>
      <c r="K10" s="224">
        <f t="shared" si="21"/>
        <v>3.5381311397892024E-2</v>
      </c>
      <c r="L10" s="224">
        <f t="shared" si="21"/>
        <v>4.0149353140760624E-2</v>
      </c>
      <c r="M10" s="237">
        <f t="shared" ref="M10" si="22">I10-E10</f>
        <v>3.8610546804638934E-2</v>
      </c>
      <c r="N10" s="237">
        <f t="shared" ref="N10" si="23">J10-F10</f>
        <v>-1.2041589756983218E-2</v>
      </c>
      <c r="O10" s="237">
        <f t="shared" ref="O10" si="24">K10-G10</f>
        <v>1.1071571846557049E-3</v>
      </c>
      <c r="P10" s="238">
        <f t="shared" ref="P10" si="25">L10-H10</f>
        <v>-1.1597398006601978E-3</v>
      </c>
    </row>
    <row r="11" spans="2:16" s="183" customFormat="1" x14ac:dyDescent="0.35">
      <c r="B11" s="10"/>
      <c r="C11" s="11"/>
      <c r="D11" s="11"/>
      <c r="E11" s="220"/>
      <c r="F11" s="220"/>
      <c r="G11" s="220"/>
      <c r="H11" s="220"/>
      <c r="I11" s="220"/>
      <c r="J11" s="220"/>
      <c r="K11" s="220"/>
      <c r="L11" s="220"/>
      <c r="M11" s="214"/>
      <c r="N11" s="214"/>
      <c r="O11" s="214"/>
      <c r="P11" s="225"/>
    </row>
    <row r="12" spans="2:16" s="183" customFormat="1" x14ac:dyDescent="0.35">
      <c r="B12" s="10" t="s">
        <v>1172</v>
      </c>
      <c r="C12" s="11"/>
      <c r="D12" s="11"/>
      <c r="E12" s="214"/>
      <c r="F12" s="214"/>
      <c r="G12" s="214"/>
      <c r="H12" s="214"/>
      <c r="I12" s="214"/>
      <c r="J12" s="214"/>
      <c r="K12" s="214"/>
      <c r="L12" s="214"/>
      <c r="M12" s="214"/>
      <c r="N12" s="214"/>
      <c r="O12" s="214"/>
      <c r="P12" s="225"/>
    </row>
    <row r="13" spans="2:16" s="183" customFormat="1" x14ac:dyDescent="0.35">
      <c r="B13" s="10"/>
      <c r="C13" s="11">
        <f>C5</f>
        <v>2011</v>
      </c>
      <c r="D13" s="11" t="str">
        <f>D5</f>
        <v>Mrd. FT</v>
      </c>
      <c r="E13" s="219">
        <f>'Bázis modell AKM-ei'!L37/10^3</f>
        <v>5303.9387598407275</v>
      </c>
      <c r="F13" s="219">
        <f>'Bázis modell AKM-ei'!M37/10^3</f>
        <v>14668.465422906867</v>
      </c>
      <c r="G13" s="219">
        <f>'Bázis modell AKM-ei'!N37/10^3</f>
        <v>6654.8175549004682</v>
      </c>
      <c r="H13" s="219">
        <f>'Bázis modell AKM-ei'!O37/10^3</f>
        <v>26627.221737648062</v>
      </c>
      <c r="I13" s="219">
        <f>E13</f>
        <v>5303.9387598407275</v>
      </c>
      <c r="J13" s="219">
        <f t="shared" ref="J13:J15" si="26">F13</f>
        <v>14668.465422906867</v>
      </c>
      <c r="K13" s="219">
        <f t="shared" ref="K13:K15" si="27">G13</f>
        <v>6654.8175549004682</v>
      </c>
      <c r="L13" s="219">
        <f t="shared" ref="L13:L15" si="28">H13</f>
        <v>26627.221737648062</v>
      </c>
      <c r="M13" s="222">
        <f>I13-E13</f>
        <v>0</v>
      </c>
      <c r="N13" s="222">
        <f t="shared" ref="N13:N16" si="29">J13-F13</f>
        <v>0</v>
      </c>
      <c r="O13" s="222">
        <f t="shared" ref="O13:O16" si="30">K13-G13</f>
        <v>0</v>
      </c>
      <c r="P13" s="226">
        <f t="shared" ref="P13:P16" si="31">L13-H13</f>
        <v>0</v>
      </c>
    </row>
    <row r="14" spans="2:16" s="183" customFormat="1" x14ac:dyDescent="0.35">
      <c r="B14" s="10"/>
      <c r="C14" s="11">
        <f>C6</f>
        <v>2015</v>
      </c>
      <c r="D14" s="11" t="str">
        <f t="shared" ref="D14:D17" si="32">D6</f>
        <v>Mrd. FT</v>
      </c>
      <c r="E14" s="219">
        <f>'Bázis modell AKM-ei'!AV37/10^3</f>
        <v>5767.3505805873392</v>
      </c>
      <c r="F14" s="219">
        <f>'Bázis modell AKM-ei'!AW37/10^3</f>
        <v>16320.476825071179</v>
      </c>
      <c r="G14" s="219">
        <f>'Bázis modell AKM-ei'!AX37/10^3</f>
        <v>7310.5110844448573</v>
      </c>
      <c r="H14" s="219">
        <f>'Bázis modell AKM-ei'!AY37/10^3</f>
        <v>29398.338490103375</v>
      </c>
      <c r="I14" s="219">
        <f t="shared" ref="I14:I15" si="33">E14</f>
        <v>5767.3505805873392</v>
      </c>
      <c r="J14" s="219">
        <f t="shared" si="26"/>
        <v>16320.476825071179</v>
      </c>
      <c r="K14" s="219">
        <f t="shared" si="27"/>
        <v>7310.5110844448573</v>
      </c>
      <c r="L14" s="219">
        <f t="shared" si="28"/>
        <v>29398.338490103375</v>
      </c>
      <c r="M14" s="222">
        <f t="shared" ref="M14:M16" si="34">I14-E14</f>
        <v>0</v>
      </c>
      <c r="N14" s="222">
        <f t="shared" si="29"/>
        <v>0</v>
      </c>
      <c r="O14" s="222">
        <f t="shared" si="30"/>
        <v>0</v>
      </c>
      <c r="P14" s="226">
        <f t="shared" si="31"/>
        <v>0</v>
      </c>
    </row>
    <row r="15" spans="2:16" s="183" customFormat="1" x14ac:dyDescent="0.35">
      <c r="B15" s="10"/>
      <c r="C15" s="11">
        <f>C7</f>
        <v>2020</v>
      </c>
      <c r="D15" s="11" t="str">
        <f t="shared" si="32"/>
        <v>Mrd. FT</v>
      </c>
      <c r="E15" s="219">
        <f>'Bázis modell AKM-ei'!CO37/10^3</f>
        <v>7250.7612300882365</v>
      </c>
      <c r="F15" s="219">
        <f>'Bázis modell AKM-ei'!CP37/10^3</f>
        <v>20691.085210382236</v>
      </c>
      <c r="G15" s="219">
        <f>'Bázis modell AKM-ei'!CQ37/10^3</f>
        <v>8781.8123927599663</v>
      </c>
      <c r="H15" s="219">
        <f>'Bázis modell AKM-ei'!CR37/10^3</f>
        <v>36723.658833230445</v>
      </c>
      <c r="I15" s="219">
        <f t="shared" si="33"/>
        <v>7250.7612300882365</v>
      </c>
      <c r="J15" s="219">
        <f t="shared" si="26"/>
        <v>20691.085210382236</v>
      </c>
      <c r="K15" s="219">
        <f t="shared" si="27"/>
        <v>8781.8123927599663</v>
      </c>
      <c r="L15" s="219">
        <f t="shared" si="28"/>
        <v>36723.658833230445</v>
      </c>
      <c r="M15" s="222">
        <f t="shared" si="34"/>
        <v>0</v>
      </c>
      <c r="N15" s="222">
        <f t="shared" si="29"/>
        <v>0</v>
      </c>
      <c r="O15" s="222">
        <f t="shared" si="30"/>
        <v>0</v>
      </c>
      <c r="P15" s="226">
        <f t="shared" si="31"/>
        <v>0</v>
      </c>
    </row>
    <row r="16" spans="2:16" s="183" customFormat="1" x14ac:dyDescent="0.35">
      <c r="B16" s="10"/>
      <c r="C16" s="11">
        <f>C8</f>
        <v>2025</v>
      </c>
      <c r="D16" s="11" t="str">
        <f t="shared" si="32"/>
        <v>Mrd. FT</v>
      </c>
      <c r="E16" s="219">
        <f>'Bázis modell AKM-ei'!EH37/10^3</f>
        <v>8891.3190769570865</v>
      </c>
      <c r="F16" s="219">
        <f>'Bázis modell AKM-ei'!EI37/10^3</f>
        <v>25534.946581636526</v>
      </c>
      <c r="G16" s="219">
        <f>'Bázis modell AKM-ei'!EJ37/10^3</f>
        <v>10393.516635100257</v>
      </c>
      <c r="H16" s="219">
        <f>'Bázis modell AKM-ei'!EK37/10^3</f>
        <v>44819.782293693868</v>
      </c>
      <c r="I16" s="219">
        <f>'Előrejelzési variáns'!AD16/10^3</f>
        <v>11132.30819164178</v>
      </c>
      <c r="J16" s="219">
        <f>'Előrejelzési variáns'!AE16/10^3</f>
        <v>23293.957466951833</v>
      </c>
      <c r="K16" s="219">
        <f>'Előrejelzési variáns'!AF16/10^3</f>
        <v>10393.516635100257</v>
      </c>
      <c r="L16" s="219">
        <f>'Előrejelzési variáns'!AG16/10^3</f>
        <v>44819.782293693868</v>
      </c>
      <c r="M16" s="222">
        <f t="shared" si="34"/>
        <v>2240.989114684693</v>
      </c>
      <c r="N16" s="222">
        <f t="shared" si="29"/>
        <v>-2240.989114684693</v>
      </c>
      <c r="O16" s="222">
        <f t="shared" si="30"/>
        <v>0</v>
      </c>
      <c r="P16" s="226">
        <f t="shared" si="31"/>
        <v>0</v>
      </c>
    </row>
    <row r="17" spans="2:16" s="183" customFormat="1" x14ac:dyDescent="0.35">
      <c r="B17" s="10"/>
      <c r="C17" s="240" t="s">
        <v>65</v>
      </c>
      <c r="D17" s="11" t="str">
        <f t="shared" si="32"/>
        <v>%</v>
      </c>
      <c r="E17" s="220">
        <f>E16/E15</f>
        <v>1.2262600842599922</v>
      </c>
      <c r="F17" s="220">
        <f t="shared" ref="F17:L17" si="35">F16/F15</f>
        <v>1.2341037853743779</v>
      </c>
      <c r="G17" s="220">
        <f t="shared" si="35"/>
        <v>1.1835275191791885</v>
      </c>
      <c r="H17" s="220">
        <f t="shared" si="35"/>
        <v>1.2204606980265653</v>
      </c>
      <c r="I17" s="220">
        <f t="shared" si="35"/>
        <v>1.5353295796648798</v>
      </c>
      <c r="J17" s="220">
        <f t="shared" si="35"/>
        <v>1.1257967975146874</v>
      </c>
      <c r="K17" s="220">
        <f t="shared" si="35"/>
        <v>1.1835275191791885</v>
      </c>
      <c r="L17" s="220">
        <f t="shared" si="35"/>
        <v>1.2204606980265653</v>
      </c>
      <c r="M17" s="222"/>
      <c r="N17" s="222"/>
      <c r="O17" s="222"/>
      <c r="P17" s="226"/>
    </row>
    <row r="18" spans="2:16" s="183" customFormat="1" x14ac:dyDescent="0.35">
      <c r="B18" s="10" t="s">
        <v>1175</v>
      </c>
      <c r="C18" s="11"/>
      <c r="D18" s="11"/>
      <c r="E18" s="224">
        <f>(E16/E15)^(1/($C$8-$C$7))-1</f>
        <v>4.1637288522582416E-2</v>
      </c>
      <c r="F18" s="224">
        <f t="shared" ref="F18:L18" si="36">(F16/F15)^(1/($C$8-$C$7))-1</f>
        <v>4.296644654027304E-2</v>
      </c>
      <c r="G18" s="224">
        <f t="shared" si="36"/>
        <v>3.4274154213236319E-2</v>
      </c>
      <c r="H18" s="224">
        <f t="shared" si="36"/>
        <v>4.065017049736408E-2</v>
      </c>
      <c r="I18" s="224">
        <f t="shared" si="36"/>
        <v>8.9532836032983898E-2</v>
      </c>
      <c r="J18" s="224">
        <f t="shared" si="36"/>
        <v>2.3981243835423216E-2</v>
      </c>
      <c r="K18" s="224">
        <f t="shared" si="36"/>
        <v>3.4274154213236319E-2</v>
      </c>
      <c r="L18" s="224">
        <f t="shared" si="36"/>
        <v>4.065017049736408E-2</v>
      </c>
      <c r="M18" s="237">
        <f t="shared" ref="M18" si="37">I18-E18</f>
        <v>4.7895547510401482E-2</v>
      </c>
      <c r="N18" s="237">
        <f t="shared" ref="N18" si="38">J18-F18</f>
        <v>-1.8985202704849824E-2</v>
      </c>
      <c r="O18" s="237">
        <f t="shared" ref="O18" si="39">K18-G18</f>
        <v>0</v>
      </c>
      <c r="P18" s="238">
        <f t="shared" ref="P18" si="40">L18-H18</f>
        <v>0</v>
      </c>
    </row>
    <row r="19" spans="2:16" s="183" customFormat="1" x14ac:dyDescent="0.35">
      <c r="B19" s="10"/>
      <c r="C19" s="11"/>
      <c r="D19" s="11"/>
      <c r="E19" s="214"/>
      <c r="F19" s="214"/>
      <c r="G19" s="214"/>
      <c r="H19" s="214"/>
      <c r="I19" s="214"/>
      <c r="J19" s="214"/>
      <c r="K19" s="214"/>
      <c r="L19" s="214"/>
      <c r="M19" s="214"/>
      <c r="N19" s="214"/>
      <c r="O19" s="214"/>
      <c r="P19" s="225"/>
    </row>
    <row r="20" spans="2:16" s="183" customFormat="1" x14ac:dyDescent="0.35">
      <c r="B20" s="10" t="s">
        <v>1173</v>
      </c>
      <c r="C20" s="11"/>
      <c r="D20" s="11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25"/>
    </row>
    <row r="21" spans="2:16" s="183" customFormat="1" x14ac:dyDescent="0.35">
      <c r="B21" s="10"/>
      <c r="C21" s="11">
        <f>C13</f>
        <v>2011</v>
      </c>
      <c r="D21" s="11"/>
      <c r="E21" s="220">
        <f t="shared" ref="E21:H24" si="41">E5/$H5</f>
        <v>0.16303664629787915</v>
      </c>
      <c r="F21" s="220">
        <f t="shared" si="41"/>
        <v>0.66496858550169224</v>
      </c>
      <c r="G21" s="220">
        <f t="shared" si="41"/>
        <v>0.17199476820042847</v>
      </c>
      <c r="H21" s="220">
        <f t="shared" si="41"/>
        <v>1</v>
      </c>
      <c r="I21" s="220">
        <f>I5/$L5</f>
        <v>0.16303664629787915</v>
      </c>
      <c r="J21" s="220">
        <f t="shared" ref="J21:L21" si="42">J5/$L5</f>
        <v>0.66496858550169224</v>
      </c>
      <c r="K21" s="220">
        <f t="shared" si="42"/>
        <v>0.17199476820042847</v>
      </c>
      <c r="L21" s="220">
        <f t="shared" si="42"/>
        <v>1</v>
      </c>
      <c r="M21" s="220">
        <f>I21-E21</f>
        <v>0</v>
      </c>
      <c r="N21" s="220">
        <f t="shared" ref="N21:N24" si="43">J21-F21</f>
        <v>0</v>
      </c>
      <c r="O21" s="220">
        <f t="shared" ref="O21:O24" si="44">K21-G21</f>
        <v>0</v>
      </c>
      <c r="P21" s="228">
        <f t="shared" ref="P21:P24" si="45">L21-H21</f>
        <v>0</v>
      </c>
    </row>
    <row r="22" spans="2:16" s="183" customFormat="1" x14ac:dyDescent="0.35">
      <c r="B22" s="10"/>
      <c r="C22" s="11">
        <f>C14</f>
        <v>2015</v>
      </c>
      <c r="D22" s="11"/>
      <c r="E22" s="220">
        <f t="shared" si="41"/>
        <v>0.16049928518552611</v>
      </c>
      <c r="F22" s="220">
        <f t="shared" si="41"/>
        <v>0.66520672313892559</v>
      </c>
      <c r="G22" s="220">
        <f t="shared" si="41"/>
        <v>0.17429399167554829</v>
      </c>
      <c r="H22" s="220">
        <f t="shared" si="41"/>
        <v>1</v>
      </c>
      <c r="I22" s="220">
        <f t="shared" ref="I22:L22" si="46">I6/$L6</f>
        <v>0.16049928518552611</v>
      </c>
      <c r="J22" s="220">
        <f t="shared" si="46"/>
        <v>0.66520672313892559</v>
      </c>
      <c r="K22" s="220">
        <f t="shared" si="46"/>
        <v>0.17429399167554829</v>
      </c>
      <c r="L22" s="220">
        <f t="shared" si="46"/>
        <v>1</v>
      </c>
      <c r="M22" s="220">
        <f t="shared" ref="M22:M24" si="47">I22-E22</f>
        <v>0</v>
      </c>
      <c r="N22" s="220">
        <f t="shared" si="43"/>
        <v>0</v>
      </c>
      <c r="O22" s="220">
        <f t="shared" si="44"/>
        <v>0</v>
      </c>
      <c r="P22" s="228">
        <f t="shared" si="45"/>
        <v>0</v>
      </c>
    </row>
    <row r="23" spans="2:16" s="183" customFormat="1" x14ac:dyDescent="0.35">
      <c r="B23" s="10"/>
      <c r="C23" s="11">
        <f>C15</f>
        <v>2020</v>
      </c>
      <c r="D23" s="11"/>
      <c r="E23" s="220">
        <f t="shared" si="41"/>
        <v>0.15906797432848596</v>
      </c>
      <c r="F23" s="220">
        <f t="shared" si="41"/>
        <v>0.67234243408343031</v>
      </c>
      <c r="G23" s="220">
        <f t="shared" si="41"/>
        <v>0.16858959158808379</v>
      </c>
      <c r="H23" s="220">
        <f t="shared" si="41"/>
        <v>1</v>
      </c>
      <c r="I23" s="220">
        <f t="shared" ref="I23:L23" si="48">I7/$L7</f>
        <v>0.15906797432848596</v>
      </c>
      <c r="J23" s="220">
        <f t="shared" si="48"/>
        <v>0.67234243408343031</v>
      </c>
      <c r="K23" s="220">
        <f t="shared" si="48"/>
        <v>0.16858959158808379</v>
      </c>
      <c r="L23" s="220">
        <f t="shared" si="48"/>
        <v>1</v>
      </c>
      <c r="M23" s="220">
        <f t="shared" si="47"/>
        <v>0</v>
      </c>
      <c r="N23" s="220">
        <f t="shared" si="43"/>
        <v>0</v>
      </c>
      <c r="O23" s="220">
        <f t="shared" si="44"/>
        <v>0</v>
      </c>
      <c r="P23" s="228">
        <f t="shared" si="45"/>
        <v>0</v>
      </c>
    </row>
    <row r="24" spans="2:16" s="183" customFormat="1" x14ac:dyDescent="0.35">
      <c r="B24" s="10"/>
      <c r="C24" s="11">
        <f>C16</f>
        <v>2025</v>
      </c>
      <c r="D24" s="11"/>
      <c r="E24" s="220">
        <f t="shared" si="41"/>
        <v>0.15931880438837537</v>
      </c>
      <c r="F24" s="220">
        <f t="shared" si="41"/>
        <v>0.67771001366308092</v>
      </c>
      <c r="G24" s="220">
        <f t="shared" si="41"/>
        <v>0.16297118194854368</v>
      </c>
      <c r="H24" s="220">
        <f t="shared" si="41"/>
        <v>1</v>
      </c>
      <c r="I24" s="223">
        <f t="shared" ref="I24:L24" si="49">I8/$L8</f>
        <v>0.1921857830101654</v>
      </c>
      <c r="J24" s="223">
        <f t="shared" si="49"/>
        <v>0.64305343273481042</v>
      </c>
      <c r="K24" s="223">
        <f t="shared" si="49"/>
        <v>0.16476078425502416</v>
      </c>
      <c r="L24" s="223">
        <f t="shared" si="49"/>
        <v>1</v>
      </c>
      <c r="M24" s="223">
        <f t="shared" si="47"/>
        <v>3.2866978621790027E-2</v>
      </c>
      <c r="N24" s="223">
        <f t="shared" si="43"/>
        <v>-3.4656580928270508E-2</v>
      </c>
      <c r="O24" s="223">
        <f t="shared" si="44"/>
        <v>1.7896023064804811E-3</v>
      </c>
      <c r="P24" s="227">
        <f t="shared" si="45"/>
        <v>0</v>
      </c>
    </row>
    <row r="25" spans="2:16" s="183" customFormat="1" x14ac:dyDescent="0.35">
      <c r="B25" s="10"/>
      <c r="C25" s="11"/>
      <c r="D25" s="11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25"/>
    </row>
    <row r="26" spans="2:16" s="183" customFormat="1" x14ac:dyDescent="0.35">
      <c r="B26" s="10" t="s">
        <v>1174</v>
      </c>
      <c r="C26" s="11"/>
      <c r="D26" s="11"/>
      <c r="E26" s="214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25"/>
    </row>
    <row r="27" spans="2:16" s="183" customFormat="1" x14ac:dyDescent="0.35">
      <c r="B27" s="10"/>
      <c r="C27" s="11">
        <f>C21</f>
        <v>2011</v>
      </c>
      <c r="D27" s="11"/>
      <c r="E27" s="220">
        <f t="shared" ref="E27:H30" si="50">E13/$H13</f>
        <v>0.19919234579180756</v>
      </c>
      <c r="F27" s="220">
        <f t="shared" si="50"/>
        <v>0.55088231011976796</v>
      </c>
      <c r="G27" s="220">
        <f t="shared" si="50"/>
        <v>0.24992534408842448</v>
      </c>
      <c r="H27" s="220">
        <f t="shared" si="50"/>
        <v>1</v>
      </c>
      <c r="I27" s="220">
        <f>I13/$L13</f>
        <v>0.19919234579180756</v>
      </c>
      <c r="J27" s="220">
        <f t="shared" ref="J27:L27" si="51">J13/$L13</f>
        <v>0.55088231011976796</v>
      </c>
      <c r="K27" s="220">
        <f t="shared" si="51"/>
        <v>0.24992534408842448</v>
      </c>
      <c r="L27" s="220">
        <f t="shared" si="51"/>
        <v>1</v>
      </c>
      <c r="M27" s="220">
        <f>I27-E27</f>
        <v>0</v>
      </c>
      <c r="N27" s="220">
        <f t="shared" ref="N27:N30" si="52">J27-F27</f>
        <v>0</v>
      </c>
      <c r="O27" s="220">
        <f t="shared" ref="O27:O30" si="53">K27-G27</f>
        <v>0</v>
      </c>
      <c r="P27" s="228">
        <f t="shared" ref="P27:P30" si="54">L27-H27</f>
        <v>0</v>
      </c>
    </row>
    <row r="28" spans="2:16" s="183" customFormat="1" x14ac:dyDescent="0.35">
      <c r="B28" s="10"/>
      <c r="C28" s="11">
        <f t="shared" ref="C28:C30" si="55">C22</f>
        <v>2015</v>
      </c>
      <c r="D28" s="11"/>
      <c r="E28" s="220">
        <f t="shared" si="50"/>
        <v>0.19617947397023316</v>
      </c>
      <c r="F28" s="220">
        <f t="shared" si="50"/>
        <v>0.55514963305036058</v>
      </c>
      <c r="G28" s="220">
        <f t="shared" si="50"/>
        <v>0.24867089297940628</v>
      </c>
      <c r="H28" s="220">
        <f t="shared" si="50"/>
        <v>1</v>
      </c>
      <c r="I28" s="220">
        <f t="shared" ref="I28:L28" si="56">I14/$L14</f>
        <v>0.19617947397023316</v>
      </c>
      <c r="J28" s="220">
        <f t="shared" si="56"/>
        <v>0.55514963305036058</v>
      </c>
      <c r="K28" s="220">
        <f t="shared" si="56"/>
        <v>0.24867089297940628</v>
      </c>
      <c r="L28" s="220">
        <f t="shared" si="56"/>
        <v>1</v>
      </c>
      <c r="M28" s="220">
        <f t="shared" ref="M28:M30" si="57">I28-E28</f>
        <v>0</v>
      </c>
      <c r="N28" s="220">
        <f t="shared" si="52"/>
        <v>0</v>
      </c>
      <c r="O28" s="220">
        <f t="shared" si="53"/>
        <v>0</v>
      </c>
      <c r="P28" s="228">
        <f t="shared" si="54"/>
        <v>0</v>
      </c>
    </row>
    <row r="29" spans="2:16" s="183" customFormat="1" x14ac:dyDescent="0.35">
      <c r="B29" s="10"/>
      <c r="C29" s="11">
        <f t="shared" si="55"/>
        <v>2020</v>
      </c>
      <c r="D29" s="11"/>
      <c r="E29" s="220">
        <f t="shared" si="50"/>
        <v>0.19744114449530772</v>
      </c>
      <c r="F29" s="220">
        <f t="shared" si="50"/>
        <v>0.56342657207291447</v>
      </c>
      <c r="G29" s="220">
        <f t="shared" si="50"/>
        <v>0.23913228343177761</v>
      </c>
      <c r="H29" s="220">
        <f t="shared" si="50"/>
        <v>1</v>
      </c>
      <c r="I29" s="220">
        <f t="shared" ref="I29:L29" si="58">I15/$L15</f>
        <v>0.19744114449530772</v>
      </c>
      <c r="J29" s="220">
        <f t="shared" si="58"/>
        <v>0.56342657207291447</v>
      </c>
      <c r="K29" s="220">
        <f t="shared" si="58"/>
        <v>0.23913228343177761</v>
      </c>
      <c r="L29" s="220">
        <f t="shared" si="58"/>
        <v>1</v>
      </c>
      <c r="M29" s="220">
        <f t="shared" si="57"/>
        <v>0</v>
      </c>
      <c r="N29" s="220">
        <f t="shared" si="52"/>
        <v>0</v>
      </c>
      <c r="O29" s="220">
        <f t="shared" si="53"/>
        <v>0</v>
      </c>
      <c r="P29" s="228">
        <f t="shared" si="54"/>
        <v>0</v>
      </c>
    </row>
    <row r="30" spans="2:16" s="183" customFormat="1" x14ac:dyDescent="0.35">
      <c r="B30" s="10"/>
      <c r="C30" s="11">
        <f t="shared" si="55"/>
        <v>2025</v>
      </c>
      <c r="D30" s="11"/>
      <c r="E30" s="220">
        <f t="shared" si="50"/>
        <v>0.19837934550182082</v>
      </c>
      <c r="F30" s="220">
        <f t="shared" si="50"/>
        <v>0.56972491330528585</v>
      </c>
      <c r="G30" s="220">
        <f t="shared" si="50"/>
        <v>0.23189574119289336</v>
      </c>
      <c r="H30" s="220">
        <f t="shared" si="50"/>
        <v>1</v>
      </c>
      <c r="I30" s="220">
        <f t="shared" ref="I30:L30" si="59">I16/$L16</f>
        <v>0.24837934550182081</v>
      </c>
      <c r="J30" s="220">
        <f t="shared" si="59"/>
        <v>0.51972491330528592</v>
      </c>
      <c r="K30" s="220">
        <f t="shared" si="59"/>
        <v>0.23189574119289336</v>
      </c>
      <c r="L30" s="220">
        <f t="shared" si="59"/>
        <v>1</v>
      </c>
      <c r="M30" s="223">
        <f t="shared" si="57"/>
        <v>4.9999999999999989E-2</v>
      </c>
      <c r="N30" s="223">
        <f t="shared" si="52"/>
        <v>-4.9999999999999933E-2</v>
      </c>
      <c r="O30" s="223">
        <f t="shared" si="53"/>
        <v>0</v>
      </c>
      <c r="P30" s="227">
        <f t="shared" si="54"/>
        <v>0</v>
      </c>
    </row>
    <row r="31" spans="2:16" s="183" customFormat="1" x14ac:dyDescent="0.35">
      <c r="B31" s="10"/>
      <c r="C31" s="11"/>
      <c r="D31" s="11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25"/>
    </row>
    <row r="32" spans="2:16" x14ac:dyDescent="0.35">
      <c r="B32" s="10" t="s">
        <v>1140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47"/>
    </row>
    <row r="33" spans="2:28" x14ac:dyDescent="0.35">
      <c r="B33" s="10"/>
      <c r="C33" s="11">
        <v>2011</v>
      </c>
      <c r="D33" s="11"/>
      <c r="E33" s="196">
        <f>E13/E5</f>
        <v>0.50754178198319977</v>
      </c>
      <c r="F33" s="196">
        <f t="shared" ref="F33:H33" si="60">F13/F5</f>
        <v>0.34414549197046868</v>
      </c>
      <c r="G33" s="196">
        <f t="shared" si="60"/>
        <v>0.60364200004006485</v>
      </c>
      <c r="H33" s="196">
        <f t="shared" si="60"/>
        <v>0.41541711686591076</v>
      </c>
      <c r="I33" s="196">
        <f>I13/I5</f>
        <v>0.50754178198319977</v>
      </c>
      <c r="J33" s="196">
        <f t="shared" ref="J33:L33" si="61">J13/J5</f>
        <v>0.34414549197046868</v>
      </c>
      <c r="K33" s="196">
        <f t="shared" si="61"/>
        <v>0.60364200004006485</v>
      </c>
      <c r="L33" s="196">
        <f t="shared" si="61"/>
        <v>0.41541711686591076</v>
      </c>
      <c r="M33" s="229">
        <f>I33-E33</f>
        <v>0</v>
      </c>
      <c r="N33" s="229">
        <f t="shared" ref="N33:P33" si="62">J33-F33</f>
        <v>0</v>
      </c>
      <c r="O33" s="229">
        <f t="shared" si="62"/>
        <v>0</v>
      </c>
      <c r="P33" s="230">
        <f t="shared" si="62"/>
        <v>0</v>
      </c>
    </row>
    <row r="34" spans="2:28" x14ac:dyDescent="0.35">
      <c r="B34" s="10"/>
      <c r="C34" s="11">
        <v>2015</v>
      </c>
      <c r="D34" s="11"/>
      <c r="E34" s="196">
        <f t="shared" ref="E34:L34" si="63">E14/E6</f>
        <v>0.51640669906677039</v>
      </c>
      <c r="F34" s="196">
        <f t="shared" si="63"/>
        <v>0.35258581129842681</v>
      </c>
      <c r="G34" s="196">
        <f t="shared" si="63"/>
        <v>0.60277320999766226</v>
      </c>
      <c r="H34" s="196">
        <f t="shared" si="63"/>
        <v>0.42248510706991588</v>
      </c>
      <c r="I34" s="196">
        <f t="shared" si="63"/>
        <v>0.51640669906677039</v>
      </c>
      <c r="J34" s="196">
        <f t="shared" si="63"/>
        <v>0.35258581129842681</v>
      </c>
      <c r="K34" s="196">
        <f t="shared" si="63"/>
        <v>0.60277320999766226</v>
      </c>
      <c r="L34" s="196">
        <f t="shared" si="63"/>
        <v>0.42248510706991588</v>
      </c>
      <c r="M34" s="229">
        <f t="shared" ref="M34:M36" si="64">I34-E34</f>
        <v>0</v>
      </c>
      <c r="N34" s="229">
        <f t="shared" ref="N34:N36" si="65">J34-F34</f>
        <v>0</v>
      </c>
      <c r="O34" s="229">
        <f t="shared" ref="O34:O36" si="66">K34-G34</f>
        <v>0</v>
      </c>
      <c r="P34" s="230">
        <f t="shared" ref="P34:P36" si="67">L34-H34</f>
        <v>0</v>
      </c>
    </row>
    <row r="35" spans="2:28" x14ac:dyDescent="0.35">
      <c r="B35" s="10"/>
      <c r="C35" s="11">
        <v>2020</v>
      </c>
      <c r="D35" s="11"/>
      <c r="E35" s="196">
        <f t="shared" ref="E35:L35" si="68">E15/E7</f>
        <v>0.53335815894460592</v>
      </c>
      <c r="F35" s="196">
        <f t="shared" si="68"/>
        <v>0.36008981423930164</v>
      </c>
      <c r="G35" s="196">
        <f t="shared" si="68"/>
        <v>0.60949687890009396</v>
      </c>
      <c r="H35" s="196">
        <f t="shared" si="68"/>
        <v>0.42969869401717004</v>
      </c>
      <c r="I35" s="196">
        <f t="shared" si="68"/>
        <v>0.53335815894460592</v>
      </c>
      <c r="J35" s="196">
        <f t="shared" si="68"/>
        <v>0.36008981423930164</v>
      </c>
      <c r="K35" s="196">
        <f t="shared" si="68"/>
        <v>0.60949687890009396</v>
      </c>
      <c r="L35" s="196">
        <f t="shared" si="68"/>
        <v>0.42969869401717004</v>
      </c>
      <c r="M35" s="229">
        <f t="shared" si="64"/>
        <v>0</v>
      </c>
      <c r="N35" s="229">
        <f t="shared" si="65"/>
        <v>0</v>
      </c>
      <c r="O35" s="229">
        <f t="shared" si="66"/>
        <v>0</v>
      </c>
      <c r="P35" s="230">
        <f t="shared" si="67"/>
        <v>0</v>
      </c>
    </row>
    <row r="36" spans="2:28" x14ac:dyDescent="0.35">
      <c r="B36" s="10"/>
      <c r="C36" s="11">
        <v>2025</v>
      </c>
      <c r="D36" s="11"/>
      <c r="E36" s="196">
        <f t="shared" ref="E36:L36" si="69">E16/E8</f>
        <v>0.53335815894460581</v>
      </c>
      <c r="F36" s="196">
        <f t="shared" si="69"/>
        <v>0.36008981423930164</v>
      </c>
      <c r="G36" s="196">
        <f t="shared" si="69"/>
        <v>0.60949687890009396</v>
      </c>
      <c r="H36" s="196">
        <f t="shared" si="69"/>
        <v>0.42834088387018976</v>
      </c>
      <c r="I36" s="196">
        <f t="shared" si="69"/>
        <v>0.55667733127806485</v>
      </c>
      <c r="J36" s="196">
        <f t="shared" si="69"/>
        <v>0.34812546309778652</v>
      </c>
      <c r="K36" s="196">
        <f t="shared" si="69"/>
        <v>0.60624509520424807</v>
      </c>
      <c r="L36" s="196">
        <f t="shared" si="69"/>
        <v>0.43073416019972499</v>
      </c>
      <c r="M36" s="231">
        <f t="shared" si="64"/>
        <v>2.3319172333459037E-2</v>
      </c>
      <c r="N36" s="231">
        <f t="shared" si="65"/>
        <v>-1.1964351141515117E-2</v>
      </c>
      <c r="O36" s="231">
        <f t="shared" si="66"/>
        <v>-3.251783695845889E-3</v>
      </c>
      <c r="P36" s="232">
        <f t="shared" si="67"/>
        <v>2.3932763295352322E-3</v>
      </c>
    </row>
    <row r="37" spans="2:28" s="183" customFormat="1" x14ac:dyDescent="0.35">
      <c r="B37" s="10"/>
      <c r="C37" s="11"/>
      <c r="D37" s="11"/>
      <c r="E37" s="196"/>
      <c r="F37" s="196"/>
      <c r="G37" s="196"/>
      <c r="H37" s="196"/>
      <c r="I37" s="218"/>
      <c r="J37" s="218"/>
      <c r="K37" s="218"/>
      <c r="L37" s="218"/>
      <c r="M37" s="229"/>
      <c r="N37" s="229"/>
      <c r="O37" s="229"/>
      <c r="P37" s="230"/>
    </row>
    <row r="38" spans="2:28" s="183" customFormat="1" x14ac:dyDescent="0.35">
      <c r="B38" s="10" t="s">
        <v>1168</v>
      </c>
      <c r="C38" s="11">
        <f>C33</f>
        <v>2011</v>
      </c>
      <c r="D38" s="11" t="str">
        <f>D13</f>
        <v>Mrd. FT</v>
      </c>
      <c r="E38" s="6"/>
      <c r="F38" s="6"/>
      <c r="G38" s="6"/>
      <c r="H38" s="6">
        <f>'Előrejelzési variáns'!G20/10^3</f>
        <v>31336.94569975181</v>
      </c>
      <c r="I38" s="6"/>
      <c r="J38" s="6"/>
      <c r="K38" s="6"/>
      <c r="L38" s="6">
        <f>'Előrejelzési variáns'!G20/10^3</f>
        <v>31336.94569975181</v>
      </c>
      <c r="M38" s="6"/>
      <c r="N38" s="6"/>
      <c r="O38" s="6"/>
      <c r="P38" s="195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</row>
    <row r="39" spans="2:28" s="183" customFormat="1" x14ac:dyDescent="0.35">
      <c r="B39" s="10"/>
      <c r="C39" s="11">
        <f t="shared" ref="C39:C41" si="70">C34</f>
        <v>2015</v>
      </c>
      <c r="D39" s="11" t="str">
        <f t="shared" ref="D39:D42" si="71">D14</f>
        <v>Mrd. FT</v>
      </c>
      <c r="E39" s="6"/>
      <c r="F39" s="6"/>
      <c r="G39" s="6"/>
      <c r="H39" s="6">
        <f>'Előrejelzési variáns'!P20/10^3</f>
        <v>34822.311541419367</v>
      </c>
      <c r="I39" s="6"/>
      <c r="J39" s="6"/>
      <c r="K39" s="6"/>
      <c r="L39" s="6">
        <f>'Előrejelzési variáns'!P20/10^3</f>
        <v>34822.311541419367</v>
      </c>
      <c r="M39" s="6"/>
      <c r="N39" s="6"/>
      <c r="O39" s="6"/>
      <c r="P39" s="195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</row>
    <row r="40" spans="2:28" s="183" customFormat="1" x14ac:dyDescent="0.35">
      <c r="B40" s="10"/>
      <c r="C40" s="11">
        <f t="shared" si="70"/>
        <v>2020</v>
      </c>
      <c r="D40" s="11" t="str">
        <f t="shared" si="71"/>
        <v>Mrd. FT</v>
      </c>
      <c r="E40" s="6"/>
      <c r="F40" s="6"/>
      <c r="G40" s="242">
        <f>'Bázis modell AKM-ei'!CV37</f>
        <v>0</v>
      </c>
      <c r="H40" s="6">
        <f>'Előrejelzési variáns'!Y20/10^3</f>
        <v>42938.814123668919</v>
      </c>
      <c r="I40" s="6"/>
      <c r="J40" s="6"/>
      <c r="K40" s="6"/>
      <c r="L40" s="6">
        <f>'Előrejelzési variáns'!Y20/10^3</f>
        <v>42938.814123668919</v>
      </c>
      <c r="M40" s="6"/>
      <c r="N40" s="6"/>
      <c r="O40" s="6"/>
      <c r="P40" s="195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</row>
    <row r="41" spans="2:28" s="183" customFormat="1" x14ac:dyDescent="0.35">
      <c r="B41" s="10"/>
      <c r="C41" s="11">
        <f t="shared" si="70"/>
        <v>2025</v>
      </c>
      <c r="D41" s="11" t="str">
        <f t="shared" si="71"/>
        <v>Mrd. FT</v>
      </c>
      <c r="E41" s="6"/>
      <c r="F41" s="6"/>
      <c r="G41" s="242">
        <f>'Bázis modell AKM-ei'!EO37</f>
        <v>0</v>
      </c>
      <c r="H41" s="6">
        <f>Variánsképzés!AA16/10^3</f>
        <v>52335.905533138699</v>
      </c>
      <c r="I41" s="175"/>
      <c r="J41" s="6"/>
      <c r="K41" s="6"/>
      <c r="L41" s="6">
        <f>'Előrejelzési variáns'!AH21/10^3</f>
        <v>52296.60819545362</v>
      </c>
      <c r="M41" s="175"/>
      <c r="N41" s="175"/>
      <c r="O41" s="6"/>
      <c r="P41" s="195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</row>
    <row r="42" spans="2:28" s="183" customFormat="1" x14ac:dyDescent="0.35">
      <c r="B42" s="10"/>
      <c r="C42" s="240" t="s">
        <v>65</v>
      </c>
      <c r="D42" s="11" t="str">
        <f t="shared" si="71"/>
        <v>%</v>
      </c>
      <c r="E42" s="6"/>
      <c r="F42" s="6"/>
      <c r="G42" s="233" t="e">
        <f>(G41/G40)^(1/($C$41-$C$40))-1</f>
        <v>#DIV/0!</v>
      </c>
      <c r="H42" s="233">
        <f>(H41/H40)^(1/($C$41-$C$40))-1</f>
        <v>4.037507602061563E-2</v>
      </c>
      <c r="I42" s="229"/>
      <c r="J42" s="229"/>
      <c r="K42" s="229"/>
      <c r="L42" s="233">
        <f>(L41/L40)^(1/($C$41-$C$40))-1</f>
        <v>4.0218792279348214E-2</v>
      </c>
      <c r="M42" s="229"/>
      <c r="N42" s="233"/>
      <c r="O42" s="6"/>
      <c r="P42" s="195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</row>
    <row r="43" spans="2:28" s="183" customFormat="1" x14ac:dyDescent="0.35">
      <c r="B43" s="10"/>
      <c r="C43" s="11"/>
      <c r="D43" s="11"/>
      <c r="E43" s="196"/>
      <c r="F43" s="196"/>
      <c r="G43" s="196"/>
      <c r="H43" s="196"/>
      <c r="I43" s="218"/>
      <c r="J43" s="218"/>
      <c r="K43" s="218"/>
      <c r="L43" s="218"/>
      <c r="M43" s="229"/>
      <c r="N43" s="229"/>
      <c r="O43" s="229"/>
      <c r="P43" s="230"/>
    </row>
    <row r="44" spans="2:28" s="183" customFormat="1" x14ac:dyDescent="0.35">
      <c r="B44" s="10" t="s">
        <v>1169</v>
      </c>
      <c r="C44" s="11"/>
      <c r="D44" s="11"/>
      <c r="E44" s="196"/>
      <c r="F44" s="196"/>
      <c r="G44" s="196"/>
      <c r="H44" s="196"/>
      <c r="I44" s="218"/>
      <c r="J44" s="218"/>
      <c r="K44" s="218"/>
      <c r="L44" s="218"/>
      <c r="M44" s="229"/>
      <c r="N44" s="229"/>
      <c r="O44" s="229"/>
      <c r="P44" s="230"/>
    </row>
    <row r="45" spans="2:28" s="183" customFormat="1" x14ac:dyDescent="0.35">
      <c r="B45" s="10"/>
      <c r="C45" s="11">
        <f>C38</f>
        <v>2011</v>
      </c>
      <c r="D45" s="11" t="s">
        <v>1166</v>
      </c>
      <c r="E45" s="6">
        <f>E60/1000</f>
        <v>607.38800000000003</v>
      </c>
      <c r="F45" s="6">
        <f t="shared" ref="F45:L45" si="72">F60/1000</f>
        <v>1573.7070000000001</v>
      </c>
      <c r="G45" s="6">
        <f t="shared" si="72"/>
        <v>1461.462</v>
      </c>
      <c r="H45" s="6">
        <f t="shared" si="72"/>
        <v>3642.5569999999998</v>
      </c>
      <c r="I45" s="6">
        <f t="shared" si="72"/>
        <v>607.38800000000003</v>
      </c>
      <c r="J45" s="6">
        <f t="shared" si="72"/>
        <v>1573.7070000000001</v>
      </c>
      <c r="K45" s="6">
        <f t="shared" si="72"/>
        <v>1461.462</v>
      </c>
      <c r="L45" s="6">
        <f t="shared" si="72"/>
        <v>3642.5569999999998</v>
      </c>
      <c r="M45" s="6">
        <f>I45-E45</f>
        <v>0</v>
      </c>
      <c r="N45" s="6">
        <f t="shared" ref="N45:N48" si="73">J45-F45</f>
        <v>0</v>
      </c>
      <c r="O45" s="6">
        <f t="shared" ref="O45:O48" si="74">K45-G45</f>
        <v>0</v>
      </c>
      <c r="P45" s="195">
        <f t="shared" ref="P45:P48" si="75">L45-H45</f>
        <v>0</v>
      </c>
    </row>
    <row r="46" spans="2:28" s="183" customFormat="1" x14ac:dyDescent="0.35">
      <c r="B46" s="10"/>
      <c r="C46" s="11">
        <f t="shared" ref="C46:C48" si="76">C39</f>
        <v>2015</v>
      </c>
      <c r="D46" s="11" t="s">
        <v>1166</v>
      </c>
      <c r="E46" s="6">
        <f>E81/1000</f>
        <v>684.96</v>
      </c>
      <c r="F46" s="6">
        <f t="shared" ref="F46:L46" si="77">F81/1000</f>
        <v>1645.6959999999999</v>
      </c>
      <c r="G46" s="6">
        <f t="shared" si="77"/>
        <v>1557.068</v>
      </c>
      <c r="H46" s="6">
        <f t="shared" si="77"/>
        <v>3887.7240000000002</v>
      </c>
      <c r="I46" s="6">
        <f t="shared" si="77"/>
        <v>684.96</v>
      </c>
      <c r="J46" s="6">
        <f t="shared" si="77"/>
        <v>1645.6959999999999</v>
      </c>
      <c r="K46" s="6">
        <f t="shared" si="77"/>
        <v>1557.068</v>
      </c>
      <c r="L46" s="6">
        <f t="shared" si="77"/>
        <v>3887.7240000000002</v>
      </c>
      <c r="M46" s="6">
        <f t="shared" ref="M46:M48" si="78">I46-E46</f>
        <v>0</v>
      </c>
      <c r="N46" s="6">
        <f t="shared" si="73"/>
        <v>0</v>
      </c>
      <c r="O46" s="6">
        <f t="shared" si="74"/>
        <v>0</v>
      </c>
      <c r="P46" s="195">
        <f t="shared" si="75"/>
        <v>0</v>
      </c>
    </row>
    <row r="47" spans="2:28" s="183" customFormat="1" x14ac:dyDescent="0.35">
      <c r="B47" s="10"/>
      <c r="C47" s="11">
        <f t="shared" si="76"/>
        <v>2020</v>
      </c>
      <c r="D47" s="11" t="s">
        <v>1166</v>
      </c>
      <c r="E47" s="6">
        <f>E102/1000</f>
        <v>775.27531625160452</v>
      </c>
      <c r="F47" s="6">
        <f t="shared" ref="F47:L47" si="79">F102/1000</f>
        <v>1988.1022230568724</v>
      </c>
      <c r="G47" s="6">
        <f t="shared" si="79"/>
        <v>1653.2187249568826</v>
      </c>
      <c r="H47" s="6">
        <f t="shared" si="79"/>
        <v>4416.5962642653594</v>
      </c>
      <c r="I47" s="6">
        <f t="shared" si="79"/>
        <v>775.27531625160452</v>
      </c>
      <c r="J47" s="6">
        <f t="shared" si="79"/>
        <v>1988.1022230568724</v>
      </c>
      <c r="K47" s="6">
        <f t="shared" si="79"/>
        <v>1653.2187249568826</v>
      </c>
      <c r="L47" s="6">
        <f t="shared" si="79"/>
        <v>4416.5962642653594</v>
      </c>
      <c r="M47" s="6">
        <f t="shared" si="78"/>
        <v>0</v>
      </c>
      <c r="N47" s="6">
        <f t="shared" si="73"/>
        <v>0</v>
      </c>
      <c r="O47" s="6">
        <f t="shared" si="74"/>
        <v>0</v>
      </c>
      <c r="P47" s="195">
        <f t="shared" si="75"/>
        <v>0</v>
      </c>
    </row>
    <row r="48" spans="2:28" s="183" customFormat="1" x14ac:dyDescent="0.35">
      <c r="B48" s="234"/>
      <c r="C48" s="182">
        <f t="shared" si="76"/>
        <v>2025</v>
      </c>
      <c r="D48" s="182" t="s">
        <v>1166</v>
      </c>
      <c r="E48" s="211">
        <f>E123/1000</f>
        <v>893.91573608493115</v>
      </c>
      <c r="F48" s="211">
        <f t="shared" ref="F48:L48" si="80">F123/1000</f>
        <v>2333.1186522526573</v>
      </c>
      <c r="G48" s="211">
        <f t="shared" si="80"/>
        <v>1756.8566244289477</v>
      </c>
      <c r="H48" s="211">
        <f t="shared" si="80"/>
        <v>4983.8910127665367</v>
      </c>
      <c r="I48" s="211">
        <f t="shared" si="80"/>
        <v>1072.3363160607416</v>
      </c>
      <c r="J48" s="211">
        <f t="shared" si="80"/>
        <v>2201.5076387269869</v>
      </c>
      <c r="K48" s="211">
        <f t="shared" si="80"/>
        <v>1766.2800701152707</v>
      </c>
      <c r="L48" s="211">
        <f t="shared" si="80"/>
        <v>5040.1240249029997</v>
      </c>
      <c r="M48" s="211">
        <f t="shared" si="78"/>
        <v>178.42057997581048</v>
      </c>
      <c r="N48" s="211">
        <f t="shared" si="73"/>
        <v>-131.61101352567039</v>
      </c>
      <c r="O48" s="211">
        <f t="shared" si="74"/>
        <v>9.4234456863230207</v>
      </c>
      <c r="P48" s="235">
        <f t="shared" si="75"/>
        <v>56.233012136463003</v>
      </c>
    </row>
    <row r="49" spans="2:16" s="183" customFormat="1" x14ac:dyDescent="0.35">
      <c r="E49" s="207"/>
      <c r="F49" s="207"/>
      <c r="G49" s="207"/>
      <c r="H49" s="207"/>
      <c r="I49" s="200"/>
      <c r="J49" s="200"/>
      <c r="K49" s="200"/>
      <c r="L49" s="200"/>
      <c r="M49" s="215"/>
      <c r="N49" s="215"/>
      <c r="O49" s="215"/>
      <c r="P49" s="215"/>
    </row>
    <row r="50" spans="2:16" x14ac:dyDescent="0.35">
      <c r="B50" t="s">
        <v>1159</v>
      </c>
      <c r="C50" s="183">
        <v>2011</v>
      </c>
      <c r="D50" t="str">
        <f>'Bazis modell FES adatai'!C68</f>
        <v>Fegyveresek</v>
      </c>
      <c r="E50" s="3">
        <f>'Előrejelzési variáns'!C23</f>
        <v>104</v>
      </c>
      <c r="F50" s="3">
        <f>'Előrejelzési variáns'!D23</f>
        <v>0</v>
      </c>
      <c r="G50" s="3">
        <f>'Előrejelzési variáns'!E23</f>
        <v>11935</v>
      </c>
      <c r="H50" s="3">
        <f>'Előrejelzési variáns'!F23</f>
        <v>12039</v>
      </c>
      <c r="I50" s="3">
        <f t="shared" ref="I50:I111" si="81">E50</f>
        <v>104</v>
      </c>
      <c r="J50" s="3">
        <f t="shared" ref="J50:J111" si="82">F50</f>
        <v>0</v>
      </c>
      <c r="K50" s="3">
        <f t="shared" ref="K50:K111" si="83">G50</f>
        <v>11935</v>
      </c>
      <c r="L50" s="3">
        <f t="shared" ref="L50:L111" si="84">H50</f>
        <v>12039</v>
      </c>
      <c r="M50" s="3">
        <f t="shared" ref="M50:M111" si="85">E50-I50</f>
        <v>0</v>
      </c>
      <c r="N50" s="3">
        <f t="shared" ref="N50:N111" si="86">F50-J50</f>
        <v>0</v>
      </c>
      <c r="O50" s="3">
        <f t="shared" ref="O50:O111" si="87">G50-K50</f>
        <v>0</v>
      </c>
      <c r="P50" s="3">
        <f t="shared" ref="P50:P111" si="88">H50-L50</f>
        <v>0</v>
      </c>
    </row>
    <row r="51" spans="2:16" s="183" customFormat="1" x14ac:dyDescent="0.35">
      <c r="D51" s="183" t="str">
        <f>'Bazis modell FES adatai'!C69</f>
        <v>Vezetők</v>
      </c>
      <c r="E51" s="3">
        <f>'Előrejelzési variáns'!C24</f>
        <v>34662</v>
      </c>
      <c r="F51" s="3">
        <f>'Előrejelzési variáns'!D24</f>
        <v>86757</v>
      </c>
      <c r="G51" s="3">
        <f>'Előrejelzési variáns'!E24</f>
        <v>93076</v>
      </c>
      <c r="H51" s="3">
        <f>'Előrejelzési variáns'!F24</f>
        <v>214495</v>
      </c>
      <c r="I51" s="3">
        <f t="shared" si="81"/>
        <v>34662</v>
      </c>
      <c r="J51" s="3">
        <f t="shared" si="82"/>
        <v>86757</v>
      </c>
      <c r="K51" s="3">
        <f t="shared" si="83"/>
        <v>93076</v>
      </c>
      <c r="L51" s="3">
        <f t="shared" si="84"/>
        <v>214495</v>
      </c>
      <c r="M51" s="3">
        <f t="shared" si="85"/>
        <v>0</v>
      </c>
      <c r="N51" s="3">
        <f t="shared" si="86"/>
        <v>0</v>
      </c>
      <c r="O51" s="3">
        <f t="shared" si="87"/>
        <v>0</v>
      </c>
      <c r="P51" s="3">
        <f t="shared" si="88"/>
        <v>0</v>
      </c>
    </row>
    <row r="52" spans="2:16" s="183" customFormat="1" x14ac:dyDescent="0.35">
      <c r="D52" s="183" t="str">
        <f>'Bazis modell FES adatai'!C70</f>
        <v>Felsőfokúak</v>
      </c>
      <c r="E52" s="3">
        <f>'Előrejelzési variáns'!C25</f>
        <v>103126</v>
      </c>
      <c r="F52" s="3">
        <f>'Előrejelzési variáns'!D25</f>
        <v>131446</v>
      </c>
      <c r="G52" s="3">
        <f>'Előrejelzési variáns'!E25</f>
        <v>361309</v>
      </c>
      <c r="H52" s="3">
        <f>'Előrejelzési variáns'!F25</f>
        <v>595881</v>
      </c>
      <c r="I52" s="3">
        <f t="shared" si="81"/>
        <v>103126</v>
      </c>
      <c r="J52" s="3">
        <f t="shared" si="82"/>
        <v>131446</v>
      </c>
      <c r="K52" s="3">
        <f t="shared" si="83"/>
        <v>361309</v>
      </c>
      <c r="L52" s="3">
        <f t="shared" si="84"/>
        <v>595881</v>
      </c>
      <c r="M52" s="3">
        <f t="shared" si="85"/>
        <v>0</v>
      </c>
      <c r="N52" s="3">
        <f t="shared" si="86"/>
        <v>0</v>
      </c>
      <c r="O52" s="3">
        <f t="shared" si="87"/>
        <v>0</v>
      </c>
      <c r="P52" s="3">
        <f t="shared" si="88"/>
        <v>0</v>
      </c>
    </row>
    <row r="53" spans="2:16" s="183" customFormat="1" x14ac:dyDescent="0.35">
      <c r="D53" s="183" t="str">
        <f>'Bazis modell FES adatai'!C71</f>
        <v>Egyéb felső</v>
      </c>
      <c r="E53" s="3">
        <f>'Előrejelzési variáns'!C26</f>
        <v>108174</v>
      </c>
      <c r="F53" s="3">
        <f>'Előrejelzési variáns'!D26</f>
        <v>196489</v>
      </c>
      <c r="G53" s="3">
        <f>'Előrejelzési variáns'!E26</f>
        <v>253712</v>
      </c>
      <c r="H53" s="3">
        <f>'Előrejelzési variáns'!F26</f>
        <v>558375</v>
      </c>
      <c r="I53" s="3">
        <f t="shared" si="81"/>
        <v>108174</v>
      </c>
      <c r="J53" s="3">
        <f t="shared" si="82"/>
        <v>196489</v>
      </c>
      <c r="K53" s="3">
        <f t="shared" si="83"/>
        <v>253712</v>
      </c>
      <c r="L53" s="3">
        <f t="shared" si="84"/>
        <v>558375</v>
      </c>
      <c r="M53" s="3">
        <f t="shared" si="85"/>
        <v>0</v>
      </c>
      <c r="N53" s="3">
        <f t="shared" si="86"/>
        <v>0</v>
      </c>
      <c r="O53" s="3">
        <f t="shared" si="87"/>
        <v>0</v>
      </c>
      <c r="P53" s="3">
        <f t="shared" si="88"/>
        <v>0</v>
      </c>
    </row>
    <row r="54" spans="2:16" s="183" customFormat="1" x14ac:dyDescent="0.35">
      <c r="D54" s="183" t="str">
        <f>'Bazis modell FES adatai'!C72</f>
        <v>Iroda-ügyvitel</v>
      </c>
      <c r="E54" s="3">
        <f>'Előrejelzési variáns'!C27</f>
        <v>94694</v>
      </c>
      <c r="F54" s="3">
        <f>'Előrejelzési variáns'!D27</f>
        <v>87414</v>
      </c>
      <c r="G54" s="3">
        <f>'Előrejelzési variáns'!E27</f>
        <v>86374</v>
      </c>
      <c r="H54" s="3">
        <f>'Előrejelzési variáns'!F27</f>
        <v>268482</v>
      </c>
      <c r="I54" s="3">
        <f t="shared" si="81"/>
        <v>94694</v>
      </c>
      <c r="J54" s="3">
        <f t="shared" si="82"/>
        <v>87414</v>
      </c>
      <c r="K54" s="3">
        <f t="shared" si="83"/>
        <v>86374</v>
      </c>
      <c r="L54" s="3">
        <f t="shared" si="84"/>
        <v>268482</v>
      </c>
      <c r="M54" s="3">
        <f t="shared" si="85"/>
        <v>0</v>
      </c>
      <c r="N54" s="3">
        <f t="shared" si="86"/>
        <v>0</v>
      </c>
      <c r="O54" s="3">
        <f t="shared" si="87"/>
        <v>0</v>
      </c>
      <c r="P54" s="3">
        <f t="shared" si="88"/>
        <v>0</v>
      </c>
    </row>
    <row r="55" spans="2:16" s="183" customFormat="1" x14ac:dyDescent="0.35">
      <c r="D55" s="183" t="str">
        <f>'Bazis modell FES adatai'!C73</f>
        <v>Ker-szolg</v>
      </c>
      <c r="E55" s="3">
        <f>'Előrejelzési variáns'!C28</f>
        <v>37886</v>
      </c>
      <c r="F55" s="3">
        <f>'Előrejelzési variáns'!D28</f>
        <v>65243</v>
      </c>
      <c r="G55" s="3">
        <f>'Előrejelzési variáns'!E28</f>
        <v>453921</v>
      </c>
      <c r="H55" s="3">
        <f>'Előrejelzési variáns'!F28</f>
        <v>557050</v>
      </c>
      <c r="I55" s="3">
        <f t="shared" si="81"/>
        <v>37886</v>
      </c>
      <c r="J55" s="3">
        <f t="shared" si="82"/>
        <v>65243</v>
      </c>
      <c r="K55" s="3">
        <f t="shared" si="83"/>
        <v>453921</v>
      </c>
      <c r="L55" s="3">
        <f t="shared" si="84"/>
        <v>557050</v>
      </c>
      <c r="M55" s="3">
        <f t="shared" si="85"/>
        <v>0</v>
      </c>
      <c r="N55" s="3">
        <f t="shared" si="86"/>
        <v>0</v>
      </c>
      <c r="O55" s="3">
        <f t="shared" si="87"/>
        <v>0</v>
      </c>
      <c r="P55" s="3">
        <f t="shared" si="88"/>
        <v>0</v>
      </c>
    </row>
    <row r="56" spans="2:16" s="183" customFormat="1" x14ac:dyDescent="0.35">
      <c r="D56" s="183" t="str">
        <f>'Bazis modell FES adatai'!C74</f>
        <v>Mező-erdő</v>
      </c>
      <c r="E56" s="3">
        <f>'Előrejelzési variáns'!C29</f>
        <v>84884</v>
      </c>
      <c r="F56" s="3">
        <f>'Előrejelzési variáns'!D29</f>
        <v>11946</v>
      </c>
      <c r="G56" s="3">
        <f>'Előrejelzési variáns'!E29</f>
        <v>4799</v>
      </c>
      <c r="H56" s="3">
        <f>'Előrejelzési variáns'!F29</f>
        <v>101629</v>
      </c>
      <c r="I56" s="3">
        <f t="shared" si="81"/>
        <v>84884</v>
      </c>
      <c r="J56" s="3">
        <f t="shared" si="82"/>
        <v>11946</v>
      </c>
      <c r="K56" s="3">
        <f t="shared" si="83"/>
        <v>4799</v>
      </c>
      <c r="L56" s="3">
        <f t="shared" si="84"/>
        <v>101629</v>
      </c>
      <c r="M56" s="3">
        <f t="shared" si="85"/>
        <v>0</v>
      </c>
      <c r="N56" s="3">
        <f t="shared" si="86"/>
        <v>0</v>
      </c>
      <c r="O56" s="3">
        <f t="shared" si="87"/>
        <v>0</v>
      </c>
      <c r="P56" s="3">
        <f t="shared" si="88"/>
        <v>0</v>
      </c>
    </row>
    <row r="57" spans="2:16" s="183" customFormat="1" x14ac:dyDescent="0.35">
      <c r="D57" s="183" t="str">
        <f>'Bazis modell FES adatai'!C75</f>
        <v>ipar-épip.</v>
      </c>
      <c r="E57" s="3">
        <f>'Előrejelzési variáns'!C30</f>
        <v>39596</v>
      </c>
      <c r="F57" s="3">
        <f>'Előrejelzési variáns'!D30</f>
        <v>453326</v>
      </c>
      <c r="G57" s="3">
        <f>'Előrejelzési variáns'!E30</f>
        <v>38823</v>
      </c>
      <c r="H57" s="3">
        <f>'Előrejelzési variáns'!F30</f>
        <v>531745</v>
      </c>
      <c r="I57" s="3">
        <f t="shared" si="81"/>
        <v>39596</v>
      </c>
      <c r="J57" s="3">
        <f t="shared" si="82"/>
        <v>453326</v>
      </c>
      <c r="K57" s="3">
        <f t="shared" si="83"/>
        <v>38823</v>
      </c>
      <c r="L57" s="3">
        <f t="shared" si="84"/>
        <v>531745</v>
      </c>
      <c r="M57" s="3">
        <f t="shared" si="85"/>
        <v>0</v>
      </c>
      <c r="N57" s="3">
        <f t="shared" si="86"/>
        <v>0</v>
      </c>
      <c r="O57" s="3">
        <f t="shared" si="87"/>
        <v>0</v>
      </c>
      <c r="P57" s="3">
        <f t="shared" si="88"/>
        <v>0</v>
      </c>
    </row>
    <row r="58" spans="2:16" s="183" customFormat="1" x14ac:dyDescent="0.35">
      <c r="D58" s="183" t="str">
        <f>'Bazis modell FES adatai'!C76</f>
        <v>Összeszerelők</v>
      </c>
      <c r="E58" s="3">
        <f>'Előrejelzési variáns'!C31</f>
        <v>49026</v>
      </c>
      <c r="F58" s="3">
        <f>'Előrejelzési variáns'!D31</f>
        <v>421335</v>
      </c>
      <c r="G58" s="3">
        <f>'Előrejelzési variáns'!E31</f>
        <v>28811</v>
      </c>
      <c r="H58" s="3">
        <f>'Előrejelzési variáns'!F31</f>
        <v>499172</v>
      </c>
      <c r="I58" s="3">
        <f t="shared" si="81"/>
        <v>49026</v>
      </c>
      <c r="J58" s="3">
        <f t="shared" si="82"/>
        <v>421335</v>
      </c>
      <c r="K58" s="3">
        <f t="shared" si="83"/>
        <v>28811</v>
      </c>
      <c r="L58" s="3">
        <f t="shared" si="84"/>
        <v>499172</v>
      </c>
      <c r="M58" s="3">
        <f t="shared" si="85"/>
        <v>0</v>
      </c>
      <c r="N58" s="3">
        <f t="shared" si="86"/>
        <v>0</v>
      </c>
      <c r="O58" s="3">
        <f t="shared" si="87"/>
        <v>0</v>
      </c>
      <c r="P58" s="3">
        <f t="shared" si="88"/>
        <v>0</v>
      </c>
    </row>
    <row r="59" spans="2:16" s="183" customFormat="1" x14ac:dyDescent="0.35">
      <c r="D59" s="183" t="str">
        <f>'Bazis modell FES adatai'!C77</f>
        <v>szakképzetlen</v>
      </c>
      <c r="E59" s="3">
        <f>'Előrejelzési variáns'!C32</f>
        <v>55236</v>
      </c>
      <c r="F59" s="3">
        <f>'Előrejelzési variáns'!D32</f>
        <v>119751</v>
      </c>
      <c r="G59" s="3">
        <f>'Előrejelzési variáns'!E32</f>
        <v>128702</v>
      </c>
      <c r="H59" s="3">
        <f>'Előrejelzési variáns'!F32</f>
        <v>303689</v>
      </c>
      <c r="I59" s="3">
        <f t="shared" si="81"/>
        <v>55236</v>
      </c>
      <c r="J59" s="3">
        <f t="shared" si="82"/>
        <v>119751</v>
      </c>
      <c r="K59" s="3">
        <f t="shared" si="83"/>
        <v>128702</v>
      </c>
      <c r="L59" s="3">
        <f t="shared" si="84"/>
        <v>303689</v>
      </c>
      <c r="M59" s="3">
        <f t="shared" si="85"/>
        <v>0</v>
      </c>
      <c r="N59" s="3">
        <f t="shared" si="86"/>
        <v>0</v>
      </c>
      <c r="O59" s="3">
        <f t="shared" si="87"/>
        <v>0</v>
      </c>
      <c r="P59" s="3">
        <f t="shared" si="88"/>
        <v>0</v>
      </c>
    </row>
    <row r="60" spans="2:16" s="183" customFormat="1" x14ac:dyDescent="0.35">
      <c r="D60" s="183" t="str">
        <f>'Bazis modell FES adatai'!C78</f>
        <v>összesen</v>
      </c>
      <c r="E60" s="3">
        <f>'Előrejelzési variáns'!C33</f>
        <v>607388</v>
      </c>
      <c r="F60" s="3">
        <f>'Előrejelzési variáns'!D33</f>
        <v>1573707</v>
      </c>
      <c r="G60" s="3">
        <f>'Előrejelzési variáns'!E33</f>
        <v>1461462</v>
      </c>
      <c r="H60" s="3">
        <f>'Előrejelzési variáns'!F33</f>
        <v>3642557</v>
      </c>
      <c r="I60" s="3">
        <f t="shared" si="81"/>
        <v>607388</v>
      </c>
      <c r="J60" s="3">
        <f t="shared" si="82"/>
        <v>1573707</v>
      </c>
      <c r="K60" s="3">
        <f t="shared" si="83"/>
        <v>1461462</v>
      </c>
      <c r="L60" s="3">
        <f t="shared" si="84"/>
        <v>3642557</v>
      </c>
      <c r="M60" s="3">
        <f t="shared" si="85"/>
        <v>0</v>
      </c>
      <c r="N60" s="3">
        <f t="shared" si="86"/>
        <v>0</v>
      </c>
      <c r="O60" s="3">
        <f t="shared" si="87"/>
        <v>0</v>
      </c>
      <c r="P60" s="3">
        <f t="shared" si="88"/>
        <v>0</v>
      </c>
    </row>
    <row r="61" spans="2:16" s="183" customFormat="1" x14ac:dyDescent="0.35">
      <c r="D61"/>
      <c r="E61" s="3"/>
      <c r="F61" s="3"/>
      <c r="G61" s="3"/>
      <c r="H61" s="3"/>
      <c r="I61" s="3"/>
      <c r="J61" s="3"/>
      <c r="K61" s="3"/>
      <c r="L61" s="3"/>
      <c r="M61" s="3">
        <f t="shared" si="85"/>
        <v>0</v>
      </c>
      <c r="N61" s="3">
        <f t="shared" si="86"/>
        <v>0</v>
      </c>
      <c r="O61" s="3">
        <f t="shared" si="87"/>
        <v>0</v>
      </c>
      <c r="P61" s="3">
        <f t="shared" si="88"/>
        <v>0</v>
      </c>
    </row>
    <row r="62" spans="2:16" s="183" customFormat="1" x14ac:dyDescent="0.35">
      <c r="D62" t="str">
        <f>'Bazis modell FES adatai'!C81</f>
        <v>0-7 osztály</v>
      </c>
      <c r="E62" s="3">
        <f>'Előrejelzési variáns'!C35</f>
        <v>2266</v>
      </c>
      <c r="F62" s="3">
        <f>'Előrejelzési variáns'!D35</f>
        <v>3763</v>
      </c>
      <c r="G62" s="3">
        <f>'Előrejelzési variáns'!E35</f>
        <v>1601</v>
      </c>
      <c r="H62" s="3">
        <f>'Előrejelzési variáns'!F35</f>
        <v>7630</v>
      </c>
      <c r="I62" s="3">
        <f t="shared" si="81"/>
        <v>2266</v>
      </c>
      <c r="J62" s="3">
        <f t="shared" si="82"/>
        <v>3763</v>
      </c>
      <c r="K62" s="3">
        <f t="shared" si="83"/>
        <v>1601</v>
      </c>
      <c r="L62" s="3">
        <f t="shared" si="84"/>
        <v>7630</v>
      </c>
      <c r="M62" s="3">
        <f t="shared" si="85"/>
        <v>0</v>
      </c>
      <c r="N62" s="3">
        <f t="shared" si="86"/>
        <v>0</v>
      </c>
      <c r="O62" s="3">
        <f t="shared" si="87"/>
        <v>0</v>
      </c>
      <c r="P62" s="3">
        <f t="shared" si="88"/>
        <v>0</v>
      </c>
    </row>
    <row r="63" spans="2:16" s="183" customFormat="1" x14ac:dyDescent="0.35">
      <c r="D63" s="183" t="str">
        <f>'Bazis modell FES adatai'!C82</f>
        <v>8 osztály</v>
      </c>
      <c r="E63" s="3">
        <f>'Előrejelzési variáns'!C36</f>
        <v>76738</v>
      </c>
      <c r="F63" s="3">
        <f>'Előrejelzési variáns'!D36</f>
        <v>198586</v>
      </c>
      <c r="G63" s="3">
        <f>'Előrejelzési variáns'!E36</f>
        <v>107797</v>
      </c>
      <c r="H63" s="3">
        <f>'Előrejelzési variáns'!F36</f>
        <v>383121</v>
      </c>
      <c r="I63" s="3">
        <f t="shared" si="81"/>
        <v>76738</v>
      </c>
      <c r="J63" s="3">
        <f t="shared" si="82"/>
        <v>198586</v>
      </c>
      <c r="K63" s="3">
        <f t="shared" si="83"/>
        <v>107797</v>
      </c>
      <c r="L63" s="3">
        <f t="shared" si="84"/>
        <v>383121</v>
      </c>
      <c r="M63" s="3">
        <f t="shared" si="85"/>
        <v>0</v>
      </c>
      <c r="N63" s="3">
        <f t="shared" si="86"/>
        <v>0</v>
      </c>
      <c r="O63" s="3">
        <f t="shared" si="87"/>
        <v>0</v>
      </c>
      <c r="P63" s="3">
        <f t="shared" si="88"/>
        <v>0</v>
      </c>
    </row>
    <row r="64" spans="2:16" s="183" customFormat="1" x14ac:dyDescent="0.35">
      <c r="D64" s="183" t="str">
        <f>'Bazis modell FES adatai'!C83</f>
        <v>szakiskola</v>
      </c>
      <c r="E64" s="3">
        <f>'Előrejelzési variáns'!C37</f>
        <v>140433</v>
      </c>
      <c r="F64" s="3">
        <f>'Előrejelzési variáns'!D37</f>
        <v>608728</v>
      </c>
      <c r="G64" s="3">
        <f>'Előrejelzési variáns'!E37</f>
        <v>306667</v>
      </c>
      <c r="H64" s="3">
        <f>'Előrejelzési variáns'!F37</f>
        <v>1055828</v>
      </c>
      <c r="I64" s="3">
        <f t="shared" si="81"/>
        <v>140433</v>
      </c>
      <c r="J64" s="3">
        <f t="shared" si="82"/>
        <v>608728</v>
      </c>
      <c r="K64" s="3">
        <f t="shared" si="83"/>
        <v>306667</v>
      </c>
      <c r="L64" s="3">
        <f t="shared" si="84"/>
        <v>1055828</v>
      </c>
      <c r="M64" s="3">
        <f t="shared" si="85"/>
        <v>0</v>
      </c>
      <c r="N64" s="3">
        <f t="shared" si="86"/>
        <v>0</v>
      </c>
      <c r="O64" s="3">
        <f t="shared" si="87"/>
        <v>0</v>
      </c>
      <c r="P64" s="3">
        <f t="shared" si="88"/>
        <v>0</v>
      </c>
    </row>
    <row r="65" spans="3:16" s="183" customFormat="1" x14ac:dyDescent="0.35">
      <c r="D65" s="183" t="str">
        <f>'Bazis modell FES adatai'!C84</f>
        <v>Gimnázium</v>
      </c>
      <c r="E65" s="3">
        <f>'Előrejelzési variáns'!C38</f>
        <v>58085</v>
      </c>
      <c r="F65" s="3">
        <f>'Előrejelzési variáns'!D38</f>
        <v>117874</v>
      </c>
      <c r="G65" s="3">
        <f>'Előrejelzési variáns'!E38</f>
        <v>154568</v>
      </c>
      <c r="H65" s="3">
        <f>'Előrejelzési variáns'!F38</f>
        <v>330527</v>
      </c>
      <c r="I65" s="3">
        <f t="shared" si="81"/>
        <v>58085</v>
      </c>
      <c r="J65" s="3">
        <f t="shared" si="82"/>
        <v>117874</v>
      </c>
      <c r="K65" s="3">
        <f t="shared" si="83"/>
        <v>154568</v>
      </c>
      <c r="L65" s="3">
        <f t="shared" si="84"/>
        <v>330527</v>
      </c>
      <c r="M65" s="3">
        <f t="shared" si="85"/>
        <v>0</v>
      </c>
      <c r="N65" s="3">
        <f t="shared" si="86"/>
        <v>0</v>
      </c>
      <c r="O65" s="3">
        <f t="shared" si="87"/>
        <v>0</v>
      </c>
      <c r="P65" s="3">
        <f t="shared" si="88"/>
        <v>0</v>
      </c>
    </row>
    <row r="66" spans="3:16" s="183" customFormat="1" x14ac:dyDescent="0.35">
      <c r="D66" s="183" t="str">
        <f>'Bazis modell FES adatai'!C85</f>
        <v>Technikum</v>
      </c>
      <c r="E66" s="3">
        <f>'Előrejelzési variáns'!C39</f>
        <v>143226</v>
      </c>
      <c r="F66" s="3">
        <f>'Előrejelzési variáns'!D39</f>
        <v>387406</v>
      </c>
      <c r="G66" s="3">
        <f>'Előrejelzési variáns'!E39</f>
        <v>381006</v>
      </c>
      <c r="H66" s="3">
        <f>'Előrejelzési variáns'!F39</f>
        <v>911638</v>
      </c>
      <c r="I66" s="3">
        <f t="shared" si="81"/>
        <v>143226</v>
      </c>
      <c r="J66" s="3">
        <f t="shared" si="82"/>
        <v>387406</v>
      </c>
      <c r="K66" s="3">
        <f t="shared" si="83"/>
        <v>381006</v>
      </c>
      <c r="L66" s="3">
        <f t="shared" si="84"/>
        <v>911638</v>
      </c>
      <c r="M66" s="3">
        <f t="shared" si="85"/>
        <v>0</v>
      </c>
      <c r="N66" s="3">
        <f t="shared" si="86"/>
        <v>0</v>
      </c>
      <c r="O66" s="3">
        <f t="shared" si="87"/>
        <v>0</v>
      </c>
      <c r="P66" s="3">
        <f t="shared" si="88"/>
        <v>0</v>
      </c>
    </row>
    <row r="67" spans="3:16" s="183" customFormat="1" x14ac:dyDescent="0.35">
      <c r="D67" s="183" t="str">
        <f>'Bazis modell FES adatai'!C86</f>
        <v>Főiskola</v>
      </c>
      <c r="E67" s="3">
        <f>'Előrejelzési variáns'!C40</f>
        <v>98060</v>
      </c>
      <c r="F67" s="3">
        <f>'Előrejelzési variáns'!D40</f>
        <v>156438</v>
      </c>
      <c r="G67" s="3">
        <f>'Előrejelzési variáns'!E40</f>
        <v>313223</v>
      </c>
      <c r="H67" s="3">
        <f>'Előrejelzési variáns'!F40</f>
        <v>567721</v>
      </c>
      <c r="I67" s="3">
        <f t="shared" si="81"/>
        <v>98060</v>
      </c>
      <c r="J67" s="3">
        <f t="shared" si="82"/>
        <v>156438</v>
      </c>
      <c r="K67" s="3">
        <f t="shared" si="83"/>
        <v>313223</v>
      </c>
      <c r="L67" s="3">
        <f t="shared" si="84"/>
        <v>567721</v>
      </c>
      <c r="M67" s="3">
        <f t="shared" si="85"/>
        <v>0</v>
      </c>
      <c r="N67" s="3">
        <f t="shared" si="86"/>
        <v>0</v>
      </c>
      <c r="O67" s="3">
        <f t="shared" si="87"/>
        <v>0</v>
      </c>
      <c r="P67" s="3">
        <f t="shared" si="88"/>
        <v>0</v>
      </c>
    </row>
    <row r="68" spans="3:16" s="183" customFormat="1" x14ac:dyDescent="0.35">
      <c r="D68" s="183" t="str">
        <f>'Bazis modell FES adatai'!C87</f>
        <v>Egyetem</v>
      </c>
      <c r="E68" s="3">
        <f>'Előrejelzési variáns'!C41</f>
        <v>88580</v>
      </c>
      <c r="F68" s="3">
        <f>'Előrejelzési variáns'!D41</f>
        <v>100912</v>
      </c>
      <c r="G68" s="3">
        <f>'Előrejelzési variáns'!E41</f>
        <v>196600</v>
      </c>
      <c r="H68" s="3">
        <f>'Előrejelzési variáns'!F41</f>
        <v>386092</v>
      </c>
      <c r="I68" s="3">
        <f t="shared" si="81"/>
        <v>88580</v>
      </c>
      <c r="J68" s="3">
        <f t="shared" si="82"/>
        <v>100912</v>
      </c>
      <c r="K68" s="3">
        <f t="shared" si="83"/>
        <v>196600</v>
      </c>
      <c r="L68" s="3">
        <f t="shared" si="84"/>
        <v>386092</v>
      </c>
      <c r="M68" s="3">
        <f t="shared" si="85"/>
        <v>0</v>
      </c>
      <c r="N68" s="3">
        <f t="shared" si="86"/>
        <v>0</v>
      </c>
      <c r="O68" s="3">
        <f t="shared" si="87"/>
        <v>0</v>
      </c>
      <c r="P68" s="3">
        <f t="shared" si="88"/>
        <v>0</v>
      </c>
    </row>
    <row r="69" spans="3:16" s="183" customFormat="1" x14ac:dyDescent="0.35">
      <c r="D69" s="183" t="str">
        <f>'Bazis modell FES adatai'!C88</f>
        <v>Összesen</v>
      </c>
      <c r="E69" s="3">
        <f>'Előrejelzési variáns'!C42</f>
        <v>607388</v>
      </c>
      <c r="F69" s="3">
        <f>'Előrejelzési variáns'!D42</f>
        <v>1573707</v>
      </c>
      <c r="G69" s="3">
        <f>'Előrejelzési variáns'!E42</f>
        <v>1461462</v>
      </c>
      <c r="H69" s="3">
        <f>'Előrejelzési variáns'!F42</f>
        <v>3642557</v>
      </c>
      <c r="I69" s="3">
        <f t="shared" si="81"/>
        <v>607388</v>
      </c>
      <c r="J69" s="3">
        <f t="shared" si="82"/>
        <v>1573707</v>
      </c>
      <c r="K69" s="3">
        <f t="shared" si="83"/>
        <v>1461462</v>
      </c>
      <c r="L69" s="3">
        <f t="shared" si="84"/>
        <v>3642557</v>
      </c>
      <c r="M69" s="3">
        <f t="shared" si="85"/>
        <v>0</v>
      </c>
      <c r="N69" s="3">
        <f t="shared" si="86"/>
        <v>0</v>
      </c>
      <c r="O69" s="3">
        <f t="shared" si="87"/>
        <v>0</v>
      </c>
      <c r="P69" s="3">
        <f t="shared" si="88"/>
        <v>0</v>
      </c>
    </row>
    <row r="70" spans="3:16" s="183" customFormat="1" x14ac:dyDescent="0.35">
      <c r="I70" s="183">
        <f t="shared" si="81"/>
        <v>0</v>
      </c>
      <c r="J70" s="183">
        <f t="shared" si="82"/>
        <v>0</v>
      </c>
      <c r="K70" s="183">
        <f t="shared" si="83"/>
        <v>0</v>
      </c>
      <c r="L70" s="183">
        <f t="shared" si="84"/>
        <v>0</v>
      </c>
      <c r="M70" s="183">
        <f t="shared" si="85"/>
        <v>0</v>
      </c>
      <c r="N70" s="183">
        <f t="shared" si="86"/>
        <v>0</v>
      </c>
      <c r="O70" s="183">
        <f t="shared" si="87"/>
        <v>0</v>
      </c>
      <c r="P70" s="183">
        <f t="shared" si="88"/>
        <v>0</v>
      </c>
    </row>
    <row r="71" spans="3:16" x14ac:dyDescent="0.35">
      <c r="C71" s="183">
        <v>2015</v>
      </c>
      <c r="D71" t="str">
        <f>D50</f>
        <v>Fegyveresek</v>
      </c>
      <c r="E71" s="3">
        <f>'Előrejelzési variáns'!L23</f>
        <v>23</v>
      </c>
      <c r="F71" s="3">
        <f>'Előrejelzési variáns'!M23</f>
        <v>0</v>
      </c>
      <c r="G71" s="3">
        <f>'Előrejelzési variáns'!N23</f>
        <v>11193</v>
      </c>
      <c r="H71" s="3">
        <f>'Előrejelzési variáns'!O23</f>
        <v>11216</v>
      </c>
      <c r="I71" s="3">
        <f t="shared" si="81"/>
        <v>23</v>
      </c>
      <c r="J71" s="3">
        <f t="shared" si="82"/>
        <v>0</v>
      </c>
      <c r="K71" s="3">
        <f t="shared" si="83"/>
        <v>11193</v>
      </c>
      <c r="L71" s="3">
        <f t="shared" si="84"/>
        <v>11216</v>
      </c>
      <c r="M71" s="3">
        <f t="shared" si="85"/>
        <v>0</v>
      </c>
      <c r="N71" s="3">
        <f t="shared" si="86"/>
        <v>0</v>
      </c>
      <c r="O71" s="3">
        <f t="shared" si="87"/>
        <v>0</v>
      </c>
      <c r="P71" s="3">
        <f t="shared" si="88"/>
        <v>0</v>
      </c>
    </row>
    <row r="72" spans="3:16" s="183" customFormat="1" x14ac:dyDescent="0.35">
      <c r="D72" s="183" t="str">
        <f t="shared" ref="D72:D90" si="89">D51</f>
        <v>Vezetők</v>
      </c>
      <c r="E72" s="3">
        <f>'Előrejelzési variáns'!L24</f>
        <v>32987</v>
      </c>
      <c r="F72" s="3">
        <f>'Előrejelzési variáns'!M24</f>
        <v>76216</v>
      </c>
      <c r="G72" s="3">
        <f>'Előrejelzési variáns'!N24</f>
        <v>87669</v>
      </c>
      <c r="H72" s="3">
        <f>'Előrejelzési variáns'!O24</f>
        <v>196872</v>
      </c>
      <c r="I72" s="3">
        <f t="shared" si="81"/>
        <v>32987</v>
      </c>
      <c r="J72" s="3">
        <f t="shared" si="82"/>
        <v>76216</v>
      </c>
      <c r="K72" s="3">
        <f t="shared" si="83"/>
        <v>87669</v>
      </c>
      <c r="L72" s="3">
        <f t="shared" si="84"/>
        <v>196872</v>
      </c>
      <c r="M72" s="3">
        <f t="shared" si="85"/>
        <v>0</v>
      </c>
      <c r="N72" s="3">
        <f t="shared" si="86"/>
        <v>0</v>
      </c>
      <c r="O72" s="3">
        <f t="shared" si="87"/>
        <v>0</v>
      </c>
      <c r="P72" s="3">
        <f t="shared" si="88"/>
        <v>0</v>
      </c>
    </row>
    <row r="73" spans="3:16" s="183" customFormat="1" x14ac:dyDescent="0.35">
      <c r="D73" s="183" t="str">
        <f t="shared" si="89"/>
        <v>Felsőfokúak</v>
      </c>
      <c r="E73" s="3">
        <f>'Előrejelzési variáns'!L25</f>
        <v>110903</v>
      </c>
      <c r="F73" s="3">
        <f>'Előrejelzési variáns'!M25</f>
        <v>171774</v>
      </c>
      <c r="G73" s="3">
        <f>'Előrejelzési variáns'!N25</f>
        <v>378407</v>
      </c>
      <c r="H73" s="3">
        <f>'Előrejelzési variáns'!O25</f>
        <v>661084</v>
      </c>
      <c r="I73" s="3">
        <f t="shared" si="81"/>
        <v>110903</v>
      </c>
      <c r="J73" s="3">
        <f t="shared" si="82"/>
        <v>171774</v>
      </c>
      <c r="K73" s="3">
        <f t="shared" si="83"/>
        <v>378407</v>
      </c>
      <c r="L73" s="3">
        <f t="shared" si="84"/>
        <v>661084</v>
      </c>
      <c r="M73" s="3">
        <f t="shared" si="85"/>
        <v>0</v>
      </c>
      <c r="N73" s="3">
        <f t="shared" si="86"/>
        <v>0</v>
      </c>
      <c r="O73" s="3">
        <f t="shared" si="87"/>
        <v>0</v>
      </c>
      <c r="P73" s="3">
        <f t="shared" si="88"/>
        <v>0</v>
      </c>
    </row>
    <row r="74" spans="3:16" s="183" customFormat="1" x14ac:dyDescent="0.35">
      <c r="D74" s="183" t="str">
        <f t="shared" si="89"/>
        <v>Egyéb felső</v>
      </c>
      <c r="E74" s="3">
        <f>'Előrejelzési variáns'!L26</f>
        <v>126244</v>
      </c>
      <c r="F74" s="3">
        <f>'Előrejelzési variáns'!M26</f>
        <v>219742</v>
      </c>
      <c r="G74" s="3">
        <f>'Előrejelzési variáns'!N26</f>
        <v>312727</v>
      </c>
      <c r="H74" s="3">
        <f>'Előrejelzési variáns'!O26</f>
        <v>658713</v>
      </c>
      <c r="I74" s="3">
        <f t="shared" si="81"/>
        <v>126244</v>
      </c>
      <c r="J74" s="3">
        <f t="shared" si="82"/>
        <v>219742</v>
      </c>
      <c r="K74" s="3">
        <f t="shared" si="83"/>
        <v>312727</v>
      </c>
      <c r="L74" s="3">
        <f t="shared" si="84"/>
        <v>658713</v>
      </c>
      <c r="M74" s="3">
        <f t="shared" si="85"/>
        <v>0</v>
      </c>
      <c r="N74" s="3">
        <f t="shared" si="86"/>
        <v>0</v>
      </c>
      <c r="O74" s="3">
        <f t="shared" si="87"/>
        <v>0</v>
      </c>
      <c r="P74" s="3">
        <f t="shared" si="88"/>
        <v>0</v>
      </c>
    </row>
    <row r="75" spans="3:16" s="183" customFormat="1" x14ac:dyDescent="0.35">
      <c r="D75" s="183" t="str">
        <f t="shared" si="89"/>
        <v>Iroda-ügyvitel</v>
      </c>
      <c r="E75" s="3">
        <f>'Előrejelzési variáns'!L27</f>
        <v>95539</v>
      </c>
      <c r="F75" s="3">
        <f>'Előrejelzési variáns'!M27</f>
        <v>100905</v>
      </c>
      <c r="G75" s="3">
        <f>'Előrejelzési variáns'!N27</f>
        <v>85652</v>
      </c>
      <c r="H75" s="3">
        <f>'Előrejelzési variáns'!O27</f>
        <v>282096</v>
      </c>
      <c r="I75" s="3">
        <f t="shared" si="81"/>
        <v>95539</v>
      </c>
      <c r="J75" s="3">
        <f t="shared" si="82"/>
        <v>100905</v>
      </c>
      <c r="K75" s="3">
        <f t="shared" si="83"/>
        <v>85652</v>
      </c>
      <c r="L75" s="3">
        <f t="shared" si="84"/>
        <v>282096</v>
      </c>
      <c r="M75" s="3">
        <f t="shared" si="85"/>
        <v>0</v>
      </c>
      <c r="N75" s="3">
        <f t="shared" si="86"/>
        <v>0</v>
      </c>
      <c r="O75" s="3">
        <f t="shared" si="87"/>
        <v>0</v>
      </c>
      <c r="P75" s="3">
        <f t="shared" si="88"/>
        <v>0</v>
      </c>
    </row>
    <row r="76" spans="3:16" s="183" customFormat="1" x14ac:dyDescent="0.35">
      <c r="D76" s="183" t="str">
        <f t="shared" si="89"/>
        <v>Ker-szolg</v>
      </c>
      <c r="E76" s="3">
        <f>'Előrejelzési variáns'!L28</f>
        <v>47934</v>
      </c>
      <c r="F76" s="3">
        <f>'Előrejelzési variáns'!M28</f>
        <v>62502</v>
      </c>
      <c r="G76" s="3">
        <f>'Előrejelzési variáns'!N28</f>
        <v>491371</v>
      </c>
      <c r="H76" s="3">
        <f>'Előrejelzési variáns'!O28</f>
        <v>601807</v>
      </c>
      <c r="I76" s="3">
        <f t="shared" si="81"/>
        <v>47934</v>
      </c>
      <c r="J76" s="3">
        <f t="shared" si="82"/>
        <v>62502</v>
      </c>
      <c r="K76" s="3">
        <f t="shared" si="83"/>
        <v>491371</v>
      </c>
      <c r="L76" s="3">
        <f t="shared" si="84"/>
        <v>601807</v>
      </c>
      <c r="M76" s="3">
        <f t="shared" si="85"/>
        <v>0</v>
      </c>
      <c r="N76" s="3">
        <f t="shared" si="86"/>
        <v>0</v>
      </c>
      <c r="O76" s="3">
        <f t="shared" si="87"/>
        <v>0</v>
      </c>
      <c r="P76" s="3">
        <f t="shared" si="88"/>
        <v>0</v>
      </c>
    </row>
    <row r="77" spans="3:16" s="183" customFormat="1" x14ac:dyDescent="0.35">
      <c r="D77" s="183" t="str">
        <f t="shared" si="89"/>
        <v>Mező-erdő</v>
      </c>
      <c r="E77" s="3">
        <f>'Előrejelzési variáns'!L29</f>
        <v>87019</v>
      </c>
      <c r="F77" s="3">
        <f>'Előrejelzési variáns'!M29</f>
        <v>10354</v>
      </c>
      <c r="G77" s="3">
        <f>'Előrejelzési variáns'!N29</f>
        <v>4011</v>
      </c>
      <c r="H77" s="3">
        <f>'Előrejelzési variáns'!O29</f>
        <v>101384</v>
      </c>
      <c r="I77" s="3">
        <f t="shared" si="81"/>
        <v>87019</v>
      </c>
      <c r="J77" s="3">
        <f t="shared" si="82"/>
        <v>10354</v>
      </c>
      <c r="K77" s="3">
        <f t="shared" si="83"/>
        <v>4011</v>
      </c>
      <c r="L77" s="3">
        <f t="shared" si="84"/>
        <v>101384</v>
      </c>
      <c r="M77" s="3">
        <f t="shared" si="85"/>
        <v>0</v>
      </c>
      <c r="N77" s="3">
        <f t="shared" si="86"/>
        <v>0</v>
      </c>
      <c r="O77" s="3">
        <f t="shared" si="87"/>
        <v>0</v>
      </c>
      <c r="P77" s="3">
        <f t="shared" si="88"/>
        <v>0</v>
      </c>
    </row>
    <row r="78" spans="3:16" s="183" customFormat="1" x14ac:dyDescent="0.35">
      <c r="D78" s="183" t="str">
        <f t="shared" si="89"/>
        <v>ipar-épip.</v>
      </c>
      <c r="E78" s="3">
        <f>'Előrejelzési variáns'!L30</f>
        <v>48881</v>
      </c>
      <c r="F78" s="3">
        <f>'Előrejelzési variáns'!M30</f>
        <v>452862</v>
      </c>
      <c r="G78" s="3">
        <f>'Előrejelzési variáns'!N30</f>
        <v>48575</v>
      </c>
      <c r="H78" s="3">
        <f>'Előrejelzési variáns'!O30</f>
        <v>550318</v>
      </c>
      <c r="I78" s="3">
        <f t="shared" si="81"/>
        <v>48881</v>
      </c>
      <c r="J78" s="3">
        <f t="shared" si="82"/>
        <v>452862</v>
      </c>
      <c r="K78" s="3">
        <f t="shared" si="83"/>
        <v>48575</v>
      </c>
      <c r="L78" s="3">
        <f t="shared" si="84"/>
        <v>550318</v>
      </c>
      <c r="M78" s="3">
        <f t="shared" si="85"/>
        <v>0</v>
      </c>
      <c r="N78" s="3">
        <f t="shared" si="86"/>
        <v>0</v>
      </c>
      <c r="O78" s="3">
        <f t="shared" si="87"/>
        <v>0</v>
      </c>
      <c r="P78" s="3">
        <f t="shared" si="88"/>
        <v>0</v>
      </c>
    </row>
    <row r="79" spans="3:16" s="183" customFormat="1" x14ac:dyDescent="0.35">
      <c r="D79" s="183" t="str">
        <f t="shared" si="89"/>
        <v>Összeszerelők</v>
      </c>
      <c r="E79" s="3">
        <f>'Előrejelzési variáns'!L31</f>
        <v>65176</v>
      </c>
      <c r="F79" s="3">
        <f>'Előrejelzési variáns'!M31</f>
        <v>442993</v>
      </c>
      <c r="G79" s="3">
        <f>'Előrejelzési variáns'!N31</f>
        <v>23909</v>
      </c>
      <c r="H79" s="3">
        <f>'Előrejelzési variáns'!O31</f>
        <v>532078</v>
      </c>
      <c r="I79" s="3">
        <f t="shared" si="81"/>
        <v>65176</v>
      </c>
      <c r="J79" s="3">
        <f t="shared" si="82"/>
        <v>442993</v>
      </c>
      <c r="K79" s="3">
        <f t="shared" si="83"/>
        <v>23909</v>
      </c>
      <c r="L79" s="3">
        <f t="shared" si="84"/>
        <v>532078</v>
      </c>
      <c r="M79" s="3">
        <f t="shared" si="85"/>
        <v>0</v>
      </c>
      <c r="N79" s="3">
        <f t="shared" si="86"/>
        <v>0</v>
      </c>
      <c r="O79" s="3">
        <f t="shared" si="87"/>
        <v>0</v>
      </c>
      <c r="P79" s="3">
        <f t="shared" si="88"/>
        <v>0</v>
      </c>
    </row>
    <row r="80" spans="3:16" s="183" customFormat="1" x14ac:dyDescent="0.35">
      <c r="D80" s="183" t="str">
        <f t="shared" si="89"/>
        <v>szakképzetlen</v>
      </c>
      <c r="E80" s="3">
        <f>'Előrejelzési variáns'!L32</f>
        <v>70254</v>
      </c>
      <c r="F80" s="3">
        <f>'Előrejelzési variáns'!M32</f>
        <v>108348</v>
      </c>
      <c r="G80" s="3">
        <f>'Előrejelzési variáns'!N32</f>
        <v>113554</v>
      </c>
      <c r="H80" s="3">
        <f>'Előrejelzési variáns'!O32</f>
        <v>292156</v>
      </c>
      <c r="I80" s="3">
        <f t="shared" si="81"/>
        <v>70254</v>
      </c>
      <c r="J80" s="3">
        <f t="shared" si="82"/>
        <v>108348</v>
      </c>
      <c r="K80" s="3">
        <f t="shared" si="83"/>
        <v>113554</v>
      </c>
      <c r="L80" s="3">
        <f t="shared" si="84"/>
        <v>292156</v>
      </c>
      <c r="M80" s="3">
        <f t="shared" si="85"/>
        <v>0</v>
      </c>
      <c r="N80" s="3">
        <f t="shared" si="86"/>
        <v>0</v>
      </c>
      <c r="O80" s="3">
        <f t="shared" si="87"/>
        <v>0</v>
      </c>
      <c r="P80" s="3">
        <f t="shared" si="88"/>
        <v>0</v>
      </c>
    </row>
    <row r="81" spans="3:16" s="183" customFormat="1" x14ac:dyDescent="0.35">
      <c r="D81" s="183" t="str">
        <f t="shared" si="89"/>
        <v>összesen</v>
      </c>
      <c r="E81" s="3">
        <f>'Előrejelzési variáns'!L33</f>
        <v>684960</v>
      </c>
      <c r="F81" s="3">
        <f>'Előrejelzési variáns'!M33</f>
        <v>1645696</v>
      </c>
      <c r="G81" s="3">
        <f>'Előrejelzési variáns'!N33</f>
        <v>1557068</v>
      </c>
      <c r="H81" s="3">
        <f>'Előrejelzési variáns'!O33</f>
        <v>3887724</v>
      </c>
      <c r="I81" s="3">
        <f t="shared" si="81"/>
        <v>684960</v>
      </c>
      <c r="J81" s="3">
        <f t="shared" si="82"/>
        <v>1645696</v>
      </c>
      <c r="K81" s="3">
        <f t="shared" si="83"/>
        <v>1557068</v>
      </c>
      <c r="L81" s="3">
        <f t="shared" si="84"/>
        <v>3887724</v>
      </c>
      <c r="M81" s="3">
        <f t="shared" si="85"/>
        <v>0</v>
      </c>
      <c r="N81" s="3">
        <f t="shared" si="86"/>
        <v>0</v>
      </c>
      <c r="O81" s="3">
        <f t="shared" si="87"/>
        <v>0</v>
      </c>
      <c r="P81" s="3">
        <f t="shared" si="88"/>
        <v>0</v>
      </c>
    </row>
    <row r="82" spans="3:16" s="183" customFormat="1" x14ac:dyDescent="0.35">
      <c r="E82" s="3"/>
      <c r="F82" s="3"/>
      <c r="G82" s="3"/>
      <c r="H82" s="3"/>
      <c r="I82" s="3">
        <f t="shared" si="81"/>
        <v>0</v>
      </c>
      <c r="J82" s="3">
        <f t="shared" si="82"/>
        <v>0</v>
      </c>
      <c r="K82" s="3">
        <f t="shared" si="83"/>
        <v>0</v>
      </c>
      <c r="L82" s="3">
        <f t="shared" si="84"/>
        <v>0</v>
      </c>
      <c r="M82" s="3">
        <f t="shared" si="85"/>
        <v>0</v>
      </c>
      <c r="N82" s="3">
        <f t="shared" si="86"/>
        <v>0</v>
      </c>
      <c r="O82" s="3">
        <f t="shared" si="87"/>
        <v>0</v>
      </c>
      <c r="P82" s="3">
        <f t="shared" si="88"/>
        <v>0</v>
      </c>
    </row>
    <row r="83" spans="3:16" s="183" customFormat="1" x14ac:dyDescent="0.35">
      <c r="D83" s="183" t="str">
        <f t="shared" si="89"/>
        <v>0-7 osztály</v>
      </c>
      <c r="E83" s="3">
        <f>'Előrejelzési variáns'!L35</f>
        <v>3304</v>
      </c>
      <c r="F83" s="3">
        <f>'Előrejelzési variáns'!M35</f>
        <v>3104</v>
      </c>
      <c r="G83" s="3">
        <f>'Előrejelzési variáns'!N35</f>
        <v>1473</v>
      </c>
      <c r="H83" s="3">
        <f>'Előrejelzési variáns'!O35</f>
        <v>7881</v>
      </c>
      <c r="I83" s="3">
        <f t="shared" si="81"/>
        <v>3304</v>
      </c>
      <c r="J83" s="3">
        <f t="shared" si="82"/>
        <v>3104</v>
      </c>
      <c r="K83" s="3">
        <f t="shared" si="83"/>
        <v>1473</v>
      </c>
      <c r="L83" s="3">
        <f t="shared" si="84"/>
        <v>7881</v>
      </c>
      <c r="M83" s="3">
        <f t="shared" si="85"/>
        <v>0</v>
      </c>
      <c r="N83" s="3">
        <f t="shared" si="86"/>
        <v>0</v>
      </c>
      <c r="O83" s="3">
        <f t="shared" si="87"/>
        <v>0</v>
      </c>
      <c r="P83" s="3">
        <f t="shared" si="88"/>
        <v>0</v>
      </c>
    </row>
    <row r="84" spans="3:16" s="183" customFormat="1" x14ac:dyDescent="0.35">
      <c r="D84" s="183" t="str">
        <f t="shared" si="89"/>
        <v>8 osztály</v>
      </c>
      <c r="E84" s="3">
        <f>'Előrejelzési variáns'!L36</f>
        <v>80963</v>
      </c>
      <c r="F84" s="3">
        <f>'Előrejelzési variáns'!M36</f>
        <v>193030</v>
      </c>
      <c r="G84" s="3">
        <f>'Előrejelzési variáns'!N36</f>
        <v>92082</v>
      </c>
      <c r="H84" s="3">
        <f>'Előrejelzési variáns'!O36</f>
        <v>366075</v>
      </c>
      <c r="I84" s="3">
        <f t="shared" si="81"/>
        <v>80963</v>
      </c>
      <c r="J84" s="3">
        <f t="shared" si="82"/>
        <v>193030</v>
      </c>
      <c r="K84" s="3">
        <f t="shared" si="83"/>
        <v>92082</v>
      </c>
      <c r="L84" s="3">
        <f t="shared" si="84"/>
        <v>366075</v>
      </c>
      <c r="M84" s="3">
        <f t="shared" si="85"/>
        <v>0</v>
      </c>
      <c r="N84" s="3">
        <f t="shared" si="86"/>
        <v>0</v>
      </c>
      <c r="O84" s="3">
        <f t="shared" si="87"/>
        <v>0</v>
      </c>
      <c r="P84" s="3">
        <f t="shared" si="88"/>
        <v>0</v>
      </c>
    </row>
    <row r="85" spans="3:16" s="183" customFormat="1" x14ac:dyDescent="0.35">
      <c r="D85" s="183" t="str">
        <f t="shared" si="89"/>
        <v>szakiskola</v>
      </c>
      <c r="E85" s="3">
        <f>'Előrejelzési variáns'!L37</f>
        <v>158732</v>
      </c>
      <c r="F85" s="3">
        <f>'Előrejelzési variáns'!M37</f>
        <v>583903</v>
      </c>
      <c r="G85" s="3">
        <f>'Előrejelzési variáns'!N37</f>
        <v>297608</v>
      </c>
      <c r="H85" s="3">
        <f>'Előrejelzési variáns'!O37</f>
        <v>1040243</v>
      </c>
      <c r="I85" s="3">
        <f t="shared" si="81"/>
        <v>158732</v>
      </c>
      <c r="J85" s="3">
        <f t="shared" si="82"/>
        <v>583903</v>
      </c>
      <c r="K85" s="3">
        <f t="shared" si="83"/>
        <v>297608</v>
      </c>
      <c r="L85" s="3">
        <f t="shared" si="84"/>
        <v>1040243</v>
      </c>
      <c r="M85" s="3">
        <f t="shared" si="85"/>
        <v>0</v>
      </c>
      <c r="N85" s="3">
        <f t="shared" si="86"/>
        <v>0</v>
      </c>
      <c r="O85" s="3">
        <f t="shared" si="87"/>
        <v>0</v>
      </c>
      <c r="P85" s="3">
        <f t="shared" si="88"/>
        <v>0</v>
      </c>
    </row>
    <row r="86" spans="3:16" s="183" customFormat="1" x14ac:dyDescent="0.35">
      <c r="D86" s="183" t="str">
        <f t="shared" si="89"/>
        <v>Gimnázium</v>
      </c>
      <c r="E86" s="3">
        <f>'Előrejelzési variáns'!L38</f>
        <v>79103</v>
      </c>
      <c r="F86" s="3">
        <f>'Előrejelzési variáns'!M38</f>
        <v>160920</v>
      </c>
      <c r="G86" s="3">
        <f>'Előrejelzési variáns'!N38</f>
        <v>205952</v>
      </c>
      <c r="H86" s="3">
        <f>'Előrejelzési variáns'!O38</f>
        <v>445975</v>
      </c>
      <c r="I86" s="3">
        <f t="shared" si="81"/>
        <v>79103</v>
      </c>
      <c r="J86" s="3">
        <f t="shared" si="82"/>
        <v>160920</v>
      </c>
      <c r="K86" s="3">
        <f t="shared" si="83"/>
        <v>205952</v>
      </c>
      <c r="L86" s="3">
        <f t="shared" si="84"/>
        <v>445975</v>
      </c>
      <c r="M86" s="3">
        <f t="shared" si="85"/>
        <v>0</v>
      </c>
      <c r="N86" s="3">
        <f t="shared" si="86"/>
        <v>0</v>
      </c>
      <c r="O86" s="3">
        <f t="shared" si="87"/>
        <v>0</v>
      </c>
      <c r="P86" s="3">
        <f t="shared" si="88"/>
        <v>0</v>
      </c>
    </row>
    <row r="87" spans="3:16" s="183" customFormat="1" x14ac:dyDescent="0.35">
      <c r="D87" s="183" t="str">
        <f t="shared" si="89"/>
        <v>Technikum</v>
      </c>
      <c r="E87" s="3">
        <f>'Előrejelzési variáns'!L39</f>
        <v>142322</v>
      </c>
      <c r="F87" s="3">
        <f>'Előrejelzési variáns'!M39</f>
        <v>393523</v>
      </c>
      <c r="G87" s="3">
        <f>'Előrejelzési variáns'!N39</f>
        <v>377744</v>
      </c>
      <c r="H87" s="3">
        <f>'Előrejelzési variáns'!O39</f>
        <v>913589</v>
      </c>
      <c r="I87" s="3">
        <f t="shared" si="81"/>
        <v>142322</v>
      </c>
      <c r="J87" s="3">
        <f t="shared" si="82"/>
        <v>393523</v>
      </c>
      <c r="K87" s="3">
        <f t="shared" si="83"/>
        <v>377744</v>
      </c>
      <c r="L87" s="3">
        <f t="shared" si="84"/>
        <v>913589</v>
      </c>
      <c r="M87" s="3">
        <f t="shared" si="85"/>
        <v>0</v>
      </c>
      <c r="N87" s="3">
        <f t="shared" si="86"/>
        <v>0</v>
      </c>
      <c r="O87" s="3">
        <f t="shared" si="87"/>
        <v>0</v>
      </c>
      <c r="P87" s="3">
        <f t="shared" si="88"/>
        <v>0</v>
      </c>
    </row>
    <row r="88" spans="3:16" s="183" customFormat="1" x14ac:dyDescent="0.35">
      <c r="D88" s="183" t="str">
        <f t="shared" si="89"/>
        <v>Főiskola</v>
      </c>
      <c r="E88" s="3">
        <f>'Előrejelzési variáns'!L40</f>
        <v>120001</v>
      </c>
      <c r="F88" s="3">
        <f>'Előrejelzési variáns'!M40</f>
        <v>171703</v>
      </c>
      <c r="G88" s="3">
        <f>'Előrejelzési variáns'!N40</f>
        <v>357753</v>
      </c>
      <c r="H88" s="3">
        <f>'Előrejelzési variáns'!O40</f>
        <v>649457</v>
      </c>
      <c r="I88" s="3">
        <f t="shared" si="81"/>
        <v>120001</v>
      </c>
      <c r="J88" s="3">
        <f t="shared" si="82"/>
        <v>171703</v>
      </c>
      <c r="K88" s="3">
        <f t="shared" si="83"/>
        <v>357753</v>
      </c>
      <c r="L88" s="3">
        <f t="shared" si="84"/>
        <v>649457</v>
      </c>
      <c r="M88" s="3">
        <f t="shared" si="85"/>
        <v>0</v>
      </c>
      <c r="N88" s="3">
        <f t="shared" si="86"/>
        <v>0</v>
      </c>
      <c r="O88" s="3">
        <f t="shared" si="87"/>
        <v>0</v>
      </c>
      <c r="P88" s="3">
        <f t="shared" si="88"/>
        <v>0</v>
      </c>
    </row>
    <row r="89" spans="3:16" s="183" customFormat="1" x14ac:dyDescent="0.35">
      <c r="D89" s="183" t="str">
        <f t="shared" si="89"/>
        <v>Egyetem</v>
      </c>
      <c r="E89" s="3">
        <f>'Előrejelzési variáns'!L41</f>
        <v>100535</v>
      </c>
      <c r="F89" s="3">
        <f>'Előrejelzési variáns'!M41</f>
        <v>139513</v>
      </c>
      <c r="G89" s="3">
        <f>'Előrejelzési variáns'!N41</f>
        <v>224456</v>
      </c>
      <c r="H89" s="3">
        <f>'Előrejelzési variáns'!O41</f>
        <v>464504</v>
      </c>
      <c r="I89" s="3">
        <f t="shared" si="81"/>
        <v>100535</v>
      </c>
      <c r="J89" s="3">
        <f t="shared" si="82"/>
        <v>139513</v>
      </c>
      <c r="K89" s="3">
        <f t="shared" si="83"/>
        <v>224456</v>
      </c>
      <c r="L89" s="3">
        <f t="shared" si="84"/>
        <v>464504</v>
      </c>
      <c r="M89" s="3">
        <f t="shared" si="85"/>
        <v>0</v>
      </c>
      <c r="N89" s="3">
        <f t="shared" si="86"/>
        <v>0</v>
      </c>
      <c r="O89" s="3">
        <f t="shared" si="87"/>
        <v>0</v>
      </c>
      <c r="P89" s="3">
        <f t="shared" si="88"/>
        <v>0</v>
      </c>
    </row>
    <row r="90" spans="3:16" s="183" customFormat="1" x14ac:dyDescent="0.35">
      <c r="D90" s="183" t="str">
        <f t="shared" si="89"/>
        <v>Összesen</v>
      </c>
      <c r="E90" s="3">
        <f>'Előrejelzési variáns'!L42</f>
        <v>684960</v>
      </c>
      <c r="F90" s="3">
        <f>'Előrejelzési variáns'!M42</f>
        <v>1645696</v>
      </c>
      <c r="G90" s="3">
        <f>'Előrejelzési variáns'!N42</f>
        <v>1557068</v>
      </c>
      <c r="H90" s="3">
        <f>'Előrejelzési variáns'!O42</f>
        <v>3887724</v>
      </c>
      <c r="I90" s="3">
        <f t="shared" si="81"/>
        <v>684960</v>
      </c>
      <c r="J90" s="3">
        <f t="shared" si="82"/>
        <v>1645696</v>
      </c>
      <c r="K90" s="3">
        <f t="shared" si="83"/>
        <v>1557068</v>
      </c>
      <c r="L90" s="3">
        <f t="shared" si="84"/>
        <v>3887724</v>
      </c>
      <c r="M90" s="3">
        <f t="shared" si="85"/>
        <v>0</v>
      </c>
      <c r="N90" s="3">
        <f t="shared" si="86"/>
        <v>0</v>
      </c>
      <c r="O90" s="3">
        <f t="shared" si="87"/>
        <v>0</v>
      </c>
      <c r="P90" s="3">
        <f t="shared" si="88"/>
        <v>0</v>
      </c>
    </row>
    <row r="91" spans="3:16" s="183" customFormat="1" x14ac:dyDescent="0.35">
      <c r="I91" s="183">
        <f t="shared" si="81"/>
        <v>0</v>
      </c>
      <c r="J91" s="183">
        <f t="shared" si="82"/>
        <v>0</v>
      </c>
      <c r="K91" s="183">
        <f t="shared" si="83"/>
        <v>0</v>
      </c>
      <c r="L91" s="183">
        <f t="shared" si="84"/>
        <v>0</v>
      </c>
      <c r="M91" s="183">
        <f t="shared" si="85"/>
        <v>0</v>
      </c>
      <c r="N91" s="183">
        <f t="shared" si="86"/>
        <v>0</v>
      </c>
      <c r="O91" s="183">
        <f t="shared" si="87"/>
        <v>0</v>
      </c>
      <c r="P91" s="183">
        <f t="shared" si="88"/>
        <v>0</v>
      </c>
    </row>
    <row r="92" spans="3:16" x14ac:dyDescent="0.35">
      <c r="C92" s="183">
        <v>2020</v>
      </c>
      <c r="D92" s="183" t="str">
        <f>D71</f>
        <v>Fegyveresek</v>
      </c>
      <c r="E92" s="3">
        <f>'Előrejelzési variáns'!U23</f>
        <v>13.762361001857267</v>
      </c>
      <c r="F92" s="3">
        <f>'Előrejelzési variáns'!V23</f>
        <v>5.759781429855134</v>
      </c>
      <c r="G92" s="3">
        <f>'Előrejelzési variáns'!W23</f>
        <v>9838.2978883984433</v>
      </c>
      <c r="H92" s="3">
        <f>'Előrejelzési variáns'!X23</f>
        <v>9857.8200308301566</v>
      </c>
      <c r="I92" s="3">
        <f t="shared" si="81"/>
        <v>13.762361001857267</v>
      </c>
      <c r="J92" s="3">
        <f t="shared" si="82"/>
        <v>5.759781429855134</v>
      </c>
      <c r="K92" s="3">
        <f t="shared" si="83"/>
        <v>9838.2978883984433</v>
      </c>
      <c r="L92" s="3">
        <f t="shared" si="84"/>
        <v>9857.8200308301566</v>
      </c>
      <c r="M92" s="3">
        <f t="shared" si="85"/>
        <v>0</v>
      </c>
      <c r="N92" s="3">
        <f t="shared" si="86"/>
        <v>0</v>
      </c>
      <c r="O92" s="3">
        <f t="shared" si="87"/>
        <v>0</v>
      </c>
      <c r="P92" s="3">
        <f t="shared" si="88"/>
        <v>0</v>
      </c>
    </row>
    <row r="93" spans="3:16" s="183" customFormat="1" x14ac:dyDescent="0.35">
      <c r="D93" s="183" t="str">
        <f t="shared" ref="D93:D111" si="90">D72</f>
        <v>Vezetők</v>
      </c>
      <c r="E93" s="3">
        <f>'Előrejelzési variáns'!U24</f>
        <v>31892.09635681233</v>
      </c>
      <c r="F93" s="3">
        <f>'Előrejelzési variáns'!V24</f>
        <v>78879.183018826108</v>
      </c>
      <c r="G93" s="3">
        <f>'Előrejelzési variáns'!W24</f>
        <v>83896.635099497638</v>
      </c>
      <c r="H93" s="3">
        <f>'Előrejelzési variáns'!X24</f>
        <v>194667.91447513609</v>
      </c>
      <c r="I93" s="3">
        <f t="shared" si="81"/>
        <v>31892.09635681233</v>
      </c>
      <c r="J93" s="3">
        <f t="shared" si="82"/>
        <v>78879.183018826108</v>
      </c>
      <c r="K93" s="3">
        <f t="shared" si="83"/>
        <v>83896.635099497638</v>
      </c>
      <c r="L93" s="3">
        <f t="shared" si="84"/>
        <v>194667.91447513609</v>
      </c>
      <c r="M93" s="3">
        <f t="shared" si="85"/>
        <v>0</v>
      </c>
      <c r="N93" s="3">
        <f t="shared" si="86"/>
        <v>0</v>
      </c>
      <c r="O93" s="3">
        <f t="shared" si="87"/>
        <v>0</v>
      </c>
      <c r="P93" s="3">
        <f t="shared" si="88"/>
        <v>0</v>
      </c>
    </row>
    <row r="94" spans="3:16" s="183" customFormat="1" x14ac:dyDescent="0.35">
      <c r="D94" s="183" t="str">
        <f t="shared" si="90"/>
        <v>Felsőfokúak</v>
      </c>
      <c r="E94" s="3">
        <f>'Előrejelzési variáns'!U25</f>
        <v>105696.89741807801</v>
      </c>
      <c r="F94" s="3">
        <f>'Előrejelzési variáns'!V25</f>
        <v>211160.58551444864</v>
      </c>
      <c r="G94" s="3">
        <f>'Előrejelzési variáns'!W25</f>
        <v>384389.94515825371</v>
      </c>
      <c r="H94" s="3">
        <f>'Előrejelzési variáns'!X25</f>
        <v>701247.42809078027</v>
      </c>
      <c r="I94" s="3">
        <f t="shared" si="81"/>
        <v>105696.89741807801</v>
      </c>
      <c r="J94" s="3">
        <f t="shared" si="82"/>
        <v>211160.58551444864</v>
      </c>
      <c r="K94" s="3">
        <f t="shared" si="83"/>
        <v>384389.94515825371</v>
      </c>
      <c r="L94" s="3">
        <f t="shared" si="84"/>
        <v>701247.42809078027</v>
      </c>
      <c r="M94" s="3">
        <f t="shared" si="85"/>
        <v>0</v>
      </c>
      <c r="N94" s="3">
        <f t="shared" si="86"/>
        <v>0</v>
      </c>
      <c r="O94" s="3">
        <f t="shared" si="87"/>
        <v>0</v>
      </c>
      <c r="P94" s="3">
        <f t="shared" si="88"/>
        <v>0</v>
      </c>
    </row>
    <row r="95" spans="3:16" s="183" customFormat="1" x14ac:dyDescent="0.35">
      <c r="D95" s="183" t="str">
        <f t="shared" si="90"/>
        <v>Egyéb felső</v>
      </c>
      <c r="E95" s="3">
        <f>'Előrejelzési variáns'!U26</f>
        <v>159374.9747175464</v>
      </c>
      <c r="F95" s="3">
        <f>'Előrejelzési variáns'!V26</f>
        <v>277831.10297218384</v>
      </c>
      <c r="G95" s="3">
        <f>'Előrejelzési variáns'!W26</f>
        <v>349354.8427515403</v>
      </c>
      <c r="H95" s="3">
        <f>'Előrejelzési variáns'!X26</f>
        <v>786560.92044127057</v>
      </c>
      <c r="I95" s="3">
        <f t="shared" si="81"/>
        <v>159374.9747175464</v>
      </c>
      <c r="J95" s="3">
        <f t="shared" si="82"/>
        <v>277831.10297218384</v>
      </c>
      <c r="K95" s="3">
        <f t="shared" si="83"/>
        <v>349354.8427515403</v>
      </c>
      <c r="L95" s="3">
        <f t="shared" si="84"/>
        <v>786560.92044127057</v>
      </c>
      <c r="M95" s="3">
        <f t="shared" si="85"/>
        <v>0</v>
      </c>
      <c r="N95" s="3">
        <f t="shared" si="86"/>
        <v>0</v>
      </c>
      <c r="O95" s="3">
        <f t="shared" si="87"/>
        <v>0</v>
      </c>
      <c r="P95" s="3">
        <f t="shared" si="88"/>
        <v>0</v>
      </c>
    </row>
    <row r="96" spans="3:16" s="183" customFormat="1" x14ac:dyDescent="0.35">
      <c r="D96" s="183" t="str">
        <f t="shared" si="90"/>
        <v>Iroda-ügyvitel</v>
      </c>
      <c r="E96" s="3">
        <f>'Előrejelzési variáns'!U27</f>
        <v>105543.13266135129</v>
      </c>
      <c r="F96" s="3">
        <f>'Előrejelzési variáns'!V27</f>
        <v>114657.01954522534</v>
      </c>
      <c r="G96" s="3">
        <f>'Előrejelzési variáns'!W27</f>
        <v>94845.799463605566</v>
      </c>
      <c r="H96" s="3">
        <f>'Előrejelzési variáns'!X27</f>
        <v>315045.95167018217</v>
      </c>
      <c r="I96" s="3">
        <f t="shared" si="81"/>
        <v>105543.13266135129</v>
      </c>
      <c r="J96" s="3">
        <f t="shared" si="82"/>
        <v>114657.01954522534</v>
      </c>
      <c r="K96" s="3">
        <f t="shared" si="83"/>
        <v>94845.799463605566</v>
      </c>
      <c r="L96" s="3">
        <f t="shared" si="84"/>
        <v>315045.95167018217</v>
      </c>
      <c r="M96" s="3">
        <f t="shared" si="85"/>
        <v>0</v>
      </c>
      <c r="N96" s="3">
        <f t="shared" si="86"/>
        <v>0</v>
      </c>
      <c r="O96" s="3">
        <f t="shared" si="87"/>
        <v>0</v>
      </c>
      <c r="P96" s="3">
        <f t="shared" si="88"/>
        <v>0</v>
      </c>
    </row>
    <row r="97" spans="4:16" s="183" customFormat="1" x14ac:dyDescent="0.35">
      <c r="D97" s="183" t="str">
        <f t="shared" si="90"/>
        <v>Ker-szolg</v>
      </c>
      <c r="E97" s="3">
        <f>'Előrejelzési variáns'!U28</f>
        <v>50765.082373874975</v>
      </c>
      <c r="F97" s="3">
        <f>'Előrejelzési variáns'!V28</f>
        <v>78394.21704674483</v>
      </c>
      <c r="G97" s="3">
        <f>'Előrejelzési variáns'!W28</f>
        <v>516946.50253117702</v>
      </c>
      <c r="H97" s="3">
        <f>'Előrejelzési variáns'!X28</f>
        <v>646105.80195179686</v>
      </c>
      <c r="I97" s="3">
        <f t="shared" si="81"/>
        <v>50765.082373874975</v>
      </c>
      <c r="J97" s="3">
        <f t="shared" si="82"/>
        <v>78394.21704674483</v>
      </c>
      <c r="K97" s="3">
        <f t="shared" si="83"/>
        <v>516946.50253117702</v>
      </c>
      <c r="L97" s="3">
        <f t="shared" si="84"/>
        <v>646105.80195179686</v>
      </c>
      <c r="M97" s="3">
        <f t="shared" si="85"/>
        <v>0</v>
      </c>
      <c r="N97" s="3">
        <f t="shared" si="86"/>
        <v>0</v>
      </c>
      <c r="O97" s="3">
        <f t="shared" si="87"/>
        <v>0</v>
      </c>
      <c r="P97" s="3">
        <f t="shared" si="88"/>
        <v>0</v>
      </c>
    </row>
    <row r="98" spans="4:16" s="183" customFormat="1" x14ac:dyDescent="0.35">
      <c r="D98" s="183" t="str">
        <f t="shared" si="90"/>
        <v>Mező-erdő</v>
      </c>
      <c r="E98" s="3">
        <f>'Előrejelzési variáns'!U29</f>
        <v>113893.24674957919</v>
      </c>
      <c r="F98" s="3">
        <f>'Előrejelzési variáns'!V29</f>
        <v>12288.485930311301</v>
      </c>
      <c r="G98" s="3">
        <f>'Előrejelzési variáns'!W29</f>
        <v>3749.8686007979609</v>
      </c>
      <c r="H98" s="3">
        <f>'Előrejelzési variáns'!X29</f>
        <v>129931.60128068845</v>
      </c>
      <c r="I98" s="3">
        <f t="shared" si="81"/>
        <v>113893.24674957919</v>
      </c>
      <c r="J98" s="3">
        <f t="shared" si="82"/>
        <v>12288.485930311301</v>
      </c>
      <c r="K98" s="3">
        <f t="shared" si="83"/>
        <v>3749.8686007979609</v>
      </c>
      <c r="L98" s="3">
        <f t="shared" si="84"/>
        <v>129931.60128068845</v>
      </c>
      <c r="M98" s="3">
        <f t="shared" si="85"/>
        <v>0</v>
      </c>
      <c r="N98" s="3">
        <f t="shared" si="86"/>
        <v>0</v>
      </c>
      <c r="O98" s="3">
        <f t="shared" si="87"/>
        <v>0</v>
      </c>
      <c r="P98" s="3">
        <f t="shared" si="88"/>
        <v>0</v>
      </c>
    </row>
    <row r="99" spans="4:16" s="183" customFormat="1" x14ac:dyDescent="0.35">
      <c r="D99" s="183" t="str">
        <f t="shared" si="90"/>
        <v>ipar-épip.</v>
      </c>
      <c r="E99" s="3">
        <f>'Előrejelzési variáns'!U30</f>
        <v>52686.367685721823</v>
      </c>
      <c r="F99" s="3">
        <f>'Előrejelzési variáns'!V30</f>
        <v>503933.70453906886</v>
      </c>
      <c r="G99" s="3">
        <f>'Előrejelzési variáns'!W30</f>
        <v>56287.299933933158</v>
      </c>
      <c r="H99" s="3">
        <f>'Előrejelzési variáns'!X30</f>
        <v>612907.37215872388</v>
      </c>
      <c r="I99" s="3">
        <f t="shared" si="81"/>
        <v>52686.367685721823</v>
      </c>
      <c r="J99" s="3">
        <f t="shared" si="82"/>
        <v>503933.70453906886</v>
      </c>
      <c r="K99" s="3">
        <f t="shared" si="83"/>
        <v>56287.299933933158</v>
      </c>
      <c r="L99" s="3">
        <f t="shared" si="84"/>
        <v>612907.37215872388</v>
      </c>
      <c r="M99" s="3">
        <f t="shared" si="85"/>
        <v>0</v>
      </c>
      <c r="N99" s="3">
        <f t="shared" si="86"/>
        <v>0</v>
      </c>
      <c r="O99" s="3">
        <f t="shared" si="87"/>
        <v>0</v>
      </c>
      <c r="P99" s="3">
        <f t="shared" si="88"/>
        <v>0</v>
      </c>
    </row>
    <row r="100" spans="4:16" s="183" customFormat="1" x14ac:dyDescent="0.35">
      <c r="D100" s="183" t="str">
        <f t="shared" si="90"/>
        <v>Összeszerelők</v>
      </c>
      <c r="E100" s="3">
        <f>'Előrejelzési variáns'!U31</f>
        <v>76496.822205114862</v>
      </c>
      <c r="F100" s="3">
        <f>'Előrejelzési variáns'!V31</f>
        <v>585849.79813507758</v>
      </c>
      <c r="G100" s="3">
        <f>'Előrejelzési variáns'!W31</f>
        <v>25974.252211761392</v>
      </c>
      <c r="H100" s="3">
        <f>'Előrejelzési variáns'!X31</f>
        <v>688320.87255195389</v>
      </c>
      <c r="I100" s="3">
        <f t="shared" si="81"/>
        <v>76496.822205114862</v>
      </c>
      <c r="J100" s="3">
        <f t="shared" si="82"/>
        <v>585849.79813507758</v>
      </c>
      <c r="K100" s="3">
        <f t="shared" si="83"/>
        <v>25974.252211761392</v>
      </c>
      <c r="L100" s="3">
        <f t="shared" si="84"/>
        <v>688320.87255195389</v>
      </c>
      <c r="M100" s="3">
        <f t="shared" si="85"/>
        <v>0</v>
      </c>
      <c r="N100" s="3">
        <f t="shared" si="86"/>
        <v>0</v>
      </c>
      <c r="O100" s="3">
        <f t="shared" si="87"/>
        <v>0</v>
      </c>
      <c r="P100" s="3">
        <f t="shared" si="88"/>
        <v>0</v>
      </c>
    </row>
    <row r="101" spans="4:16" s="183" customFormat="1" x14ac:dyDescent="0.35">
      <c r="D101" s="183" t="str">
        <f t="shared" si="90"/>
        <v>szakképzetlen</v>
      </c>
      <c r="E101" s="3">
        <f>'Előrejelzési variáns'!U32</f>
        <v>78912.933722523725</v>
      </c>
      <c r="F101" s="3">
        <f>'Előrejelzési variáns'!V32</f>
        <v>125102.36657355634</v>
      </c>
      <c r="G101" s="3">
        <f>'Előrejelzési variáns'!W32</f>
        <v>127935.28131791719</v>
      </c>
      <c r="H101" s="3">
        <f>'Előrejelzési variáns'!X32</f>
        <v>331950.58161399723</v>
      </c>
      <c r="I101" s="3">
        <f t="shared" si="81"/>
        <v>78912.933722523725</v>
      </c>
      <c r="J101" s="3">
        <f t="shared" si="82"/>
        <v>125102.36657355634</v>
      </c>
      <c r="K101" s="3">
        <f t="shared" si="83"/>
        <v>127935.28131791719</v>
      </c>
      <c r="L101" s="3">
        <f t="shared" si="84"/>
        <v>331950.58161399723</v>
      </c>
      <c r="M101" s="3">
        <f t="shared" si="85"/>
        <v>0</v>
      </c>
      <c r="N101" s="3">
        <f t="shared" si="86"/>
        <v>0</v>
      </c>
      <c r="O101" s="3">
        <f t="shared" si="87"/>
        <v>0</v>
      </c>
      <c r="P101" s="3">
        <f t="shared" si="88"/>
        <v>0</v>
      </c>
    </row>
    <row r="102" spans="4:16" s="183" customFormat="1" x14ac:dyDescent="0.35">
      <c r="D102" s="183" t="str">
        <f t="shared" si="90"/>
        <v>összesen</v>
      </c>
      <c r="E102" s="3">
        <f>'Előrejelzési variáns'!U33</f>
        <v>775275.31625160447</v>
      </c>
      <c r="F102" s="3">
        <f>'Előrejelzési variáns'!V33</f>
        <v>1988102.2230568724</v>
      </c>
      <c r="G102" s="3">
        <f>'Előrejelzési variáns'!W33</f>
        <v>1653218.7249568827</v>
      </c>
      <c r="H102" s="3">
        <f>'Előrejelzési variáns'!X33</f>
        <v>4416596.2642653594</v>
      </c>
      <c r="I102" s="3">
        <f t="shared" si="81"/>
        <v>775275.31625160447</v>
      </c>
      <c r="J102" s="3">
        <f t="shared" si="82"/>
        <v>1988102.2230568724</v>
      </c>
      <c r="K102" s="3">
        <f t="shared" si="83"/>
        <v>1653218.7249568827</v>
      </c>
      <c r="L102" s="3">
        <f t="shared" si="84"/>
        <v>4416596.2642653594</v>
      </c>
      <c r="M102" s="3">
        <f t="shared" si="85"/>
        <v>0</v>
      </c>
      <c r="N102" s="3">
        <f t="shared" si="86"/>
        <v>0</v>
      </c>
      <c r="O102" s="3">
        <f t="shared" si="87"/>
        <v>0</v>
      </c>
      <c r="P102" s="3">
        <f t="shared" si="88"/>
        <v>0</v>
      </c>
    </row>
    <row r="103" spans="4:16" s="183" customFormat="1" x14ac:dyDescent="0.35">
      <c r="E103" s="3"/>
      <c r="F103" s="3"/>
      <c r="G103" s="3"/>
      <c r="H103" s="3"/>
      <c r="I103" s="3">
        <f t="shared" si="81"/>
        <v>0</v>
      </c>
      <c r="J103" s="3">
        <f t="shared" si="82"/>
        <v>0</v>
      </c>
      <c r="K103" s="3">
        <f t="shared" si="83"/>
        <v>0</v>
      </c>
      <c r="L103" s="3">
        <f t="shared" si="84"/>
        <v>0</v>
      </c>
      <c r="M103" s="3">
        <f t="shared" si="85"/>
        <v>0</v>
      </c>
      <c r="N103" s="3">
        <f t="shared" si="86"/>
        <v>0</v>
      </c>
      <c r="O103" s="3">
        <f t="shared" si="87"/>
        <v>0</v>
      </c>
      <c r="P103" s="3">
        <f t="shared" si="88"/>
        <v>0</v>
      </c>
    </row>
    <row r="104" spans="4:16" s="183" customFormat="1" x14ac:dyDescent="0.35">
      <c r="D104" s="183" t="str">
        <f t="shared" si="90"/>
        <v>0-7 osztály</v>
      </c>
      <c r="E104" s="3">
        <f>'Előrejelzési variáns'!U35</f>
        <v>3117.2570250471845</v>
      </c>
      <c r="F104" s="3">
        <f>'Előrejelzési variáns'!V35</f>
        <v>3088.9521763718144</v>
      </c>
      <c r="G104" s="3">
        <f>'Előrejelzési variáns'!W35</f>
        <v>3509.0622867335787</v>
      </c>
      <c r="H104" s="3">
        <f>'Előrejelzési variáns'!X35</f>
        <v>9715.2714881525771</v>
      </c>
      <c r="I104" s="3">
        <f t="shared" si="81"/>
        <v>3117.2570250471845</v>
      </c>
      <c r="J104" s="3">
        <f t="shared" si="82"/>
        <v>3088.9521763718144</v>
      </c>
      <c r="K104" s="3">
        <f t="shared" si="83"/>
        <v>3509.0622867335787</v>
      </c>
      <c r="L104" s="3">
        <f t="shared" si="84"/>
        <v>9715.2714881525771</v>
      </c>
      <c r="M104" s="3">
        <f t="shared" si="85"/>
        <v>0</v>
      </c>
      <c r="N104" s="3">
        <f t="shared" si="86"/>
        <v>0</v>
      </c>
      <c r="O104" s="3">
        <f t="shared" si="87"/>
        <v>0</v>
      </c>
      <c r="P104" s="3">
        <f t="shared" si="88"/>
        <v>0</v>
      </c>
    </row>
    <row r="105" spans="4:16" s="183" customFormat="1" x14ac:dyDescent="0.35">
      <c r="D105" s="183" t="str">
        <f t="shared" si="90"/>
        <v>8 osztály</v>
      </c>
      <c r="E105" s="3">
        <f>'Előrejelzési variáns'!U36</f>
        <v>90729.840976061299</v>
      </c>
      <c r="F105" s="3">
        <f>'Előrejelzési variáns'!V36</f>
        <v>229110.90011619046</v>
      </c>
      <c r="G105" s="3">
        <f>'Előrejelzési variáns'!W36</f>
        <v>94127.81237446559</v>
      </c>
      <c r="H105" s="3">
        <f>'Előrejelzési variáns'!X36</f>
        <v>413968.55346671731</v>
      </c>
      <c r="I105" s="3">
        <f t="shared" si="81"/>
        <v>90729.840976061299</v>
      </c>
      <c r="J105" s="3">
        <f t="shared" si="82"/>
        <v>229110.90011619046</v>
      </c>
      <c r="K105" s="3">
        <f t="shared" si="83"/>
        <v>94127.81237446559</v>
      </c>
      <c r="L105" s="3">
        <f t="shared" si="84"/>
        <v>413968.55346671731</v>
      </c>
      <c r="M105" s="3">
        <f t="shared" si="85"/>
        <v>0</v>
      </c>
      <c r="N105" s="3">
        <f t="shared" si="86"/>
        <v>0</v>
      </c>
      <c r="O105" s="3">
        <f t="shared" si="87"/>
        <v>0</v>
      </c>
      <c r="P105" s="3">
        <f t="shared" si="88"/>
        <v>0</v>
      </c>
    </row>
    <row r="106" spans="4:16" s="183" customFormat="1" x14ac:dyDescent="0.35">
      <c r="D106" s="183" t="str">
        <f t="shared" si="90"/>
        <v>szakiskola</v>
      </c>
      <c r="E106" s="3">
        <f>'Előrejelzési variáns'!U37</f>
        <v>170074.58575880781</v>
      </c>
      <c r="F106" s="3">
        <f>'Előrejelzési variáns'!V37</f>
        <v>693698.49709116691</v>
      </c>
      <c r="G106" s="3">
        <f>'Előrejelzési variáns'!W37</f>
        <v>304906.27552307013</v>
      </c>
      <c r="H106" s="3">
        <f>'Előrejelzési variáns'!X37</f>
        <v>1168679.358373045</v>
      </c>
      <c r="I106" s="3">
        <f t="shared" si="81"/>
        <v>170074.58575880781</v>
      </c>
      <c r="J106" s="3">
        <f t="shared" si="82"/>
        <v>693698.49709116691</v>
      </c>
      <c r="K106" s="3">
        <f t="shared" si="83"/>
        <v>304906.27552307013</v>
      </c>
      <c r="L106" s="3">
        <f t="shared" si="84"/>
        <v>1168679.358373045</v>
      </c>
      <c r="M106" s="3">
        <f t="shared" si="85"/>
        <v>0</v>
      </c>
      <c r="N106" s="3">
        <f t="shared" si="86"/>
        <v>0</v>
      </c>
      <c r="O106" s="3">
        <f t="shared" si="87"/>
        <v>0</v>
      </c>
      <c r="P106" s="3">
        <f t="shared" si="88"/>
        <v>0</v>
      </c>
    </row>
    <row r="107" spans="4:16" s="183" customFormat="1" x14ac:dyDescent="0.35">
      <c r="D107" s="183" t="str">
        <f t="shared" si="90"/>
        <v>Gimnázium</v>
      </c>
      <c r="E107" s="3">
        <f>'Előrejelzési variáns'!U38</f>
        <v>119972.6792791625</v>
      </c>
      <c r="F107" s="3">
        <f>'Előrejelzési variáns'!V38</f>
        <v>248037.64151760269</v>
      </c>
      <c r="G107" s="3">
        <f>'Előrejelzési variáns'!W38</f>
        <v>253721.07477594618</v>
      </c>
      <c r="H107" s="3">
        <f>'Előrejelzési variáns'!X38</f>
        <v>621731.39557271136</v>
      </c>
      <c r="I107" s="3">
        <f t="shared" si="81"/>
        <v>119972.6792791625</v>
      </c>
      <c r="J107" s="3">
        <f t="shared" si="82"/>
        <v>248037.64151760269</v>
      </c>
      <c r="K107" s="3">
        <f t="shared" si="83"/>
        <v>253721.07477594618</v>
      </c>
      <c r="L107" s="3">
        <f t="shared" si="84"/>
        <v>621731.39557271136</v>
      </c>
      <c r="M107" s="3">
        <f t="shared" si="85"/>
        <v>0</v>
      </c>
      <c r="N107" s="3">
        <f t="shared" si="86"/>
        <v>0</v>
      </c>
      <c r="O107" s="3">
        <f t="shared" si="87"/>
        <v>0</v>
      </c>
      <c r="P107" s="3">
        <f t="shared" si="88"/>
        <v>0</v>
      </c>
    </row>
    <row r="108" spans="4:16" s="183" customFormat="1" x14ac:dyDescent="0.35">
      <c r="D108" s="183" t="str">
        <f t="shared" si="90"/>
        <v>Technikum</v>
      </c>
      <c r="E108" s="3">
        <f>'Előrejelzési variáns'!U39</f>
        <v>148581.60886403886</v>
      </c>
      <c r="F108" s="3">
        <f>'Előrejelzési variáns'!V39</f>
        <v>415233.23099402816</v>
      </c>
      <c r="G108" s="3">
        <f>'Előrejelzési variáns'!W39</f>
        <v>375311.25422274653</v>
      </c>
      <c r="H108" s="3">
        <f>'Előrejelzési variáns'!X39</f>
        <v>939126.09408081346</v>
      </c>
      <c r="I108" s="3">
        <f t="shared" si="81"/>
        <v>148581.60886403886</v>
      </c>
      <c r="J108" s="3">
        <f t="shared" si="82"/>
        <v>415233.23099402816</v>
      </c>
      <c r="K108" s="3">
        <f t="shared" si="83"/>
        <v>375311.25422274653</v>
      </c>
      <c r="L108" s="3">
        <f t="shared" si="84"/>
        <v>939126.09408081346</v>
      </c>
      <c r="M108" s="3">
        <f t="shared" si="85"/>
        <v>0</v>
      </c>
      <c r="N108" s="3">
        <f t="shared" si="86"/>
        <v>0</v>
      </c>
      <c r="O108" s="3">
        <f t="shared" si="87"/>
        <v>0</v>
      </c>
      <c r="P108" s="3">
        <f t="shared" si="88"/>
        <v>0</v>
      </c>
    </row>
    <row r="109" spans="4:16" s="183" customFormat="1" x14ac:dyDescent="0.35">
      <c r="D109" s="183" t="str">
        <f t="shared" si="90"/>
        <v>Főiskola</v>
      </c>
      <c r="E109" s="3">
        <f>'Előrejelzési variáns'!U40</f>
        <v>134929.90859188893</v>
      </c>
      <c r="F109" s="3">
        <f>'Előrejelzési variáns'!V40</f>
        <v>210183.16515327847</v>
      </c>
      <c r="G109" s="3">
        <f>'Előrejelzési variáns'!W40</f>
        <v>360952.90117212397</v>
      </c>
      <c r="H109" s="3">
        <f>'Előrejelzési variáns'!X40</f>
        <v>706065.97491729143</v>
      </c>
      <c r="I109" s="3">
        <f t="shared" si="81"/>
        <v>134929.90859188893</v>
      </c>
      <c r="J109" s="3">
        <f t="shared" si="82"/>
        <v>210183.16515327847</v>
      </c>
      <c r="K109" s="3">
        <f t="shared" si="83"/>
        <v>360952.90117212397</v>
      </c>
      <c r="L109" s="3">
        <f t="shared" si="84"/>
        <v>706065.97491729143</v>
      </c>
      <c r="M109" s="3">
        <f t="shared" si="85"/>
        <v>0</v>
      </c>
      <c r="N109" s="3">
        <f t="shared" si="86"/>
        <v>0</v>
      </c>
      <c r="O109" s="3">
        <f t="shared" si="87"/>
        <v>0</v>
      </c>
      <c r="P109" s="3">
        <f t="shared" si="88"/>
        <v>0</v>
      </c>
    </row>
    <row r="110" spans="4:16" s="183" customFormat="1" x14ac:dyDescent="0.35">
      <c r="D110" s="183" t="str">
        <f t="shared" si="90"/>
        <v>Egyetem</v>
      </c>
      <c r="E110" s="3">
        <f>'Előrejelzési variáns'!U41</f>
        <v>107869.43575659933</v>
      </c>
      <c r="F110" s="3">
        <f>'Előrejelzési variáns'!V41</f>
        <v>188749.83600823343</v>
      </c>
      <c r="G110" s="3">
        <f>'Előrejelzési variáns'!W41</f>
        <v>260690.34460179662</v>
      </c>
      <c r="H110" s="3">
        <f>'Előrejelzési variáns'!X41</f>
        <v>557309.61636662937</v>
      </c>
      <c r="I110" s="3">
        <f t="shared" si="81"/>
        <v>107869.43575659933</v>
      </c>
      <c r="J110" s="3">
        <f t="shared" si="82"/>
        <v>188749.83600823343</v>
      </c>
      <c r="K110" s="3">
        <f t="shared" si="83"/>
        <v>260690.34460179662</v>
      </c>
      <c r="L110" s="3">
        <f t="shared" si="84"/>
        <v>557309.61636662937</v>
      </c>
      <c r="M110" s="3">
        <f t="shared" si="85"/>
        <v>0</v>
      </c>
      <c r="N110" s="3">
        <f t="shared" si="86"/>
        <v>0</v>
      </c>
      <c r="O110" s="3">
        <f t="shared" si="87"/>
        <v>0</v>
      </c>
      <c r="P110" s="3">
        <f t="shared" si="88"/>
        <v>0</v>
      </c>
    </row>
    <row r="111" spans="4:16" s="183" customFormat="1" x14ac:dyDescent="0.35">
      <c r="D111" s="183" t="str">
        <f t="shared" si="90"/>
        <v>Összesen</v>
      </c>
      <c r="E111" s="3">
        <f>'Előrejelzési variáns'!U42</f>
        <v>775275.31625160587</v>
      </c>
      <c r="F111" s="3">
        <f>'Előrejelzési variáns'!V42</f>
        <v>1988102.2230568719</v>
      </c>
      <c r="G111" s="3">
        <f>'Előrejelzési variáns'!W42</f>
        <v>1653218.7249568829</v>
      </c>
      <c r="H111" s="3">
        <f>'Előrejelzési variáns'!X42</f>
        <v>4416596.2642653612</v>
      </c>
      <c r="I111" s="3">
        <f t="shared" si="81"/>
        <v>775275.31625160587</v>
      </c>
      <c r="J111" s="3">
        <f t="shared" si="82"/>
        <v>1988102.2230568719</v>
      </c>
      <c r="K111" s="3">
        <f t="shared" si="83"/>
        <v>1653218.7249568829</v>
      </c>
      <c r="L111" s="3">
        <f t="shared" si="84"/>
        <v>4416596.2642653612</v>
      </c>
      <c r="M111" s="3">
        <f t="shared" si="85"/>
        <v>0</v>
      </c>
      <c r="N111" s="3">
        <f t="shared" si="86"/>
        <v>0</v>
      </c>
      <c r="O111" s="3">
        <f t="shared" si="87"/>
        <v>0</v>
      </c>
      <c r="P111" s="3">
        <f t="shared" si="88"/>
        <v>0</v>
      </c>
    </row>
    <row r="113" spans="3:16" x14ac:dyDescent="0.35">
      <c r="C113" s="183">
        <v>2025</v>
      </c>
      <c r="D113" s="183" t="str">
        <f>D92</f>
        <v>Fegyveresek</v>
      </c>
      <c r="E113" s="3">
        <f>'Bazis modell FES adatai'!BL5</f>
        <v>-75.886549577061444</v>
      </c>
      <c r="F113" s="3">
        <f>'Bazis modell FES adatai'!BM5</f>
        <v>-13.409816308557469</v>
      </c>
      <c r="G113" s="3">
        <f>'Bazis modell FES adatai'!BN5</f>
        <v>6876.0011041102807</v>
      </c>
      <c r="H113" s="3">
        <f>SUM(E113:G113)</f>
        <v>6786.7047382246619</v>
      </c>
      <c r="I113" s="3">
        <f>'Előrejelzési variáns'!AD23</f>
        <v>-91.033080330846047</v>
      </c>
      <c r="J113" s="3">
        <f>'Előrejelzési variáns'!AE23</f>
        <v>-12.653369775562547</v>
      </c>
      <c r="K113" s="3">
        <f>'Előrejelzési variáns'!AF23</f>
        <v>6912.8826697672066</v>
      </c>
      <c r="L113" s="3">
        <f>SUM(I113:K113)</f>
        <v>6809.1962196607983</v>
      </c>
      <c r="M113" s="3">
        <f>I113-E113</f>
        <v>-15.146530753784603</v>
      </c>
      <c r="N113" s="3">
        <f t="shared" ref="N113:O113" si="91">J113-F113</f>
        <v>0.75644653299492148</v>
      </c>
      <c r="O113" s="3">
        <f t="shared" si="91"/>
        <v>36.881565656925886</v>
      </c>
      <c r="P113" s="3">
        <f>SUM(M113:O113)</f>
        <v>22.491481436136205</v>
      </c>
    </row>
    <row r="114" spans="3:16" x14ac:dyDescent="0.35">
      <c r="D114" s="183" t="str">
        <f t="shared" ref="D114:D132" si="92">D93</f>
        <v>Vezetők</v>
      </c>
      <c r="E114" s="3">
        <f>'Bazis modell FES adatai'!BL6</f>
        <v>28519.681353354648</v>
      </c>
      <c r="F114" s="3">
        <f>'Bazis modell FES adatai'!BM6</f>
        <v>75846.35758733179</v>
      </c>
      <c r="G114" s="3">
        <f>'Bazis modell FES adatai'!BN6</f>
        <v>78197.112711751135</v>
      </c>
      <c r="H114" s="3">
        <f t="shared" ref="H114:H132" si="93">SUM(E114:G114)</f>
        <v>182563.15165243758</v>
      </c>
      <c r="I114" s="3">
        <f>'Előrejelzési variáns'!AD24</f>
        <v>34212.050200195699</v>
      </c>
      <c r="J114" s="3">
        <f>'Előrejelzési variáns'!AE24</f>
        <v>71567.871371184505</v>
      </c>
      <c r="K114" s="3">
        <f>'Előrejelzési variáns'!AF24</f>
        <v>78616.547191617123</v>
      </c>
      <c r="L114" s="3">
        <f t="shared" ref="L114:L132" si="94">SUM(I114:K114)</f>
        <v>184396.46876299731</v>
      </c>
      <c r="M114" s="3">
        <f t="shared" ref="M114:M132" si="95">I114-E114</f>
        <v>5692.368846841051</v>
      </c>
      <c r="N114" s="3">
        <f t="shared" ref="N114:N132" si="96">J114-F114</f>
        <v>-4278.4862161472847</v>
      </c>
      <c r="O114" s="3">
        <f t="shared" ref="O114:O132" si="97">K114-G114</f>
        <v>419.43447986598767</v>
      </c>
      <c r="P114" s="3">
        <f t="shared" ref="P114:P132" si="98">SUM(M114:O114)</f>
        <v>1833.3171105597539</v>
      </c>
    </row>
    <row r="115" spans="3:16" x14ac:dyDescent="0.35">
      <c r="D115" s="183" t="str">
        <f t="shared" si="92"/>
        <v>Felsőfokúak</v>
      </c>
      <c r="E115" s="3">
        <f>'Bazis modell FES adatai'!BL7</f>
        <v>104279.58973730594</v>
      </c>
      <c r="F115" s="3">
        <f>'Bazis modell FES adatai'!BM7</f>
        <v>263192.20634928643</v>
      </c>
      <c r="G115" s="3">
        <f>'Bazis modell FES adatai'!BN7</f>
        <v>390111.33667452581</v>
      </c>
      <c r="H115" s="3">
        <f t="shared" si="93"/>
        <v>757583.13276111824</v>
      </c>
      <c r="I115" s="3">
        <f>'Előrejelzési variáns'!AD25</f>
        <v>125093.21246427177</v>
      </c>
      <c r="J115" s="3">
        <f>'Előrejelzési variáns'!AE25</f>
        <v>248345.55763888225</v>
      </c>
      <c r="K115" s="3">
        <f>'Előrejelzési variáns'!AF25</f>
        <v>392203.81988667534</v>
      </c>
      <c r="L115" s="3">
        <f t="shared" si="94"/>
        <v>765642.58998982934</v>
      </c>
      <c r="M115" s="3">
        <f t="shared" si="95"/>
        <v>20813.622726965827</v>
      </c>
      <c r="N115" s="3">
        <f t="shared" si="96"/>
        <v>-14846.648710404173</v>
      </c>
      <c r="O115" s="3">
        <f t="shared" si="97"/>
        <v>2092.4832121495274</v>
      </c>
      <c r="P115" s="3">
        <f t="shared" si="98"/>
        <v>8059.4572287111805</v>
      </c>
    </row>
    <row r="116" spans="3:16" x14ac:dyDescent="0.35">
      <c r="D116" s="183" t="str">
        <f t="shared" si="92"/>
        <v>Egyéb felső</v>
      </c>
      <c r="E116" s="3">
        <f>'Bazis modell FES adatai'!BL8</f>
        <v>200068.3679428091</v>
      </c>
      <c r="F116" s="3">
        <f>'Bazis modell FES adatai'!BM8</f>
        <v>340852.77012477885</v>
      </c>
      <c r="G116" s="3">
        <f>'Bazis modell FES adatai'!BN8</f>
        <v>408280.70534978301</v>
      </c>
      <c r="H116" s="3">
        <f t="shared" si="93"/>
        <v>949201.84341737092</v>
      </c>
      <c r="I116" s="3">
        <f>'Előrejelzési variáns'!AD26</f>
        <v>240000.89491622211</v>
      </c>
      <c r="J116" s="3">
        <f>'Előrejelzési variáns'!AE26</f>
        <v>321625.29599017301</v>
      </c>
      <c r="K116" s="3">
        <f>'Előrejelzési variáns'!AF26</f>
        <v>410470.64560907299</v>
      </c>
      <c r="L116" s="3">
        <f t="shared" si="94"/>
        <v>972096.83651546808</v>
      </c>
      <c r="M116" s="3">
        <f t="shared" si="95"/>
        <v>39932.526973413012</v>
      </c>
      <c r="N116" s="3">
        <f t="shared" si="96"/>
        <v>-19227.474134605844</v>
      </c>
      <c r="O116" s="3">
        <f t="shared" si="97"/>
        <v>2189.940259289986</v>
      </c>
      <c r="P116" s="3">
        <f t="shared" si="98"/>
        <v>22894.993098097155</v>
      </c>
    </row>
    <row r="117" spans="3:16" x14ac:dyDescent="0.35">
      <c r="D117" s="183" t="str">
        <f t="shared" si="92"/>
        <v>Iroda-ügyvitel</v>
      </c>
      <c r="E117" s="3">
        <f>'Bazis modell FES adatai'!BL9</f>
        <v>112826.46875872224</v>
      </c>
      <c r="F117" s="3">
        <f>'Bazis modell FES adatai'!BM9</f>
        <v>136531.50172311527</v>
      </c>
      <c r="G117" s="3">
        <f>'Bazis modell FES adatai'!BN9</f>
        <v>103420.57953554465</v>
      </c>
      <c r="H117" s="3">
        <f t="shared" si="93"/>
        <v>352778.55001738213</v>
      </c>
      <c r="I117" s="3">
        <f>'Előrejelzési variáns'!AD27</f>
        <v>135346.00072346808</v>
      </c>
      <c r="J117" s="3">
        <f>'Előrejelzési variáns'!AE27</f>
        <v>128829.77197927581</v>
      </c>
      <c r="K117" s="3">
        <f>'Előrejelzési variáns'!AF27</f>
        <v>103975.30790697224</v>
      </c>
      <c r="L117" s="3">
        <f t="shared" si="94"/>
        <v>368151.08060971613</v>
      </c>
      <c r="M117" s="3">
        <f t="shared" si="95"/>
        <v>22519.531964745838</v>
      </c>
      <c r="N117" s="3">
        <f t="shared" si="96"/>
        <v>-7701.7297438394598</v>
      </c>
      <c r="O117" s="3">
        <f t="shared" si="97"/>
        <v>554.72837142759818</v>
      </c>
      <c r="P117" s="3">
        <f t="shared" si="98"/>
        <v>15372.530592333977</v>
      </c>
    </row>
    <row r="118" spans="3:16" x14ac:dyDescent="0.35">
      <c r="D118" s="183" t="str">
        <f t="shared" si="92"/>
        <v>Ker-szolg</v>
      </c>
      <c r="E118" s="3">
        <f>'Bazis modell FES adatai'!BL10</f>
        <v>52914.407556101607</v>
      </c>
      <c r="F118" s="3">
        <f>'Bazis modell FES adatai'!BM10</f>
        <v>87356.525347881558</v>
      </c>
      <c r="G118" s="3">
        <f>'Bazis modell FES adatai'!BN10</f>
        <v>550953.84963848349</v>
      </c>
      <c r="H118" s="3">
        <f t="shared" si="93"/>
        <v>691224.78254246665</v>
      </c>
      <c r="I118" s="3">
        <f>'Előrejelzési variáns'!AD28</f>
        <v>63475.827278484772</v>
      </c>
      <c r="J118" s="3">
        <f>'Előrejelzési variáns'!AE28</f>
        <v>82428.751602635035</v>
      </c>
      <c r="K118" s="3">
        <f>'Előrejelzési variáns'!AF28</f>
        <v>553909.06158096425</v>
      </c>
      <c r="L118" s="3">
        <f t="shared" si="94"/>
        <v>699813.64046208409</v>
      </c>
      <c r="M118" s="3">
        <f t="shared" si="95"/>
        <v>10561.419722383165</v>
      </c>
      <c r="N118" s="3">
        <f t="shared" si="96"/>
        <v>-4927.7737452465226</v>
      </c>
      <c r="O118" s="3">
        <f t="shared" si="97"/>
        <v>2955.2119424807606</v>
      </c>
      <c r="P118" s="3">
        <f t="shared" si="98"/>
        <v>8588.8579196174032</v>
      </c>
    </row>
    <row r="119" spans="3:16" x14ac:dyDescent="0.35">
      <c r="D119" s="183" t="str">
        <f t="shared" si="92"/>
        <v>Mező-erdő</v>
      </c>
      <c r="E119" s="3">
        <f>'Bazis modell FES adatai'!BL11</f>
        <v>143048.20997442069</v>
      </c>
      <c r="F119" s="3">
        <f>'Bazis modell FES adatai'!BM11</f>
        <v>12410.824800668077</v>
      </c>
      <c r="G119" s="3">
        <f>'Bazis modell FES adatai'!BN11</f>
        <v>2535.8617603080975</v>
      </c>
      <c r="H119" s="3">
        <f t="shared" si="93"/>
        <v>157994.89653539687</v>
      </c>
      <c r="I119" s="3">
        <f>'Előrejelzési variáns'!AD29</f>
        <v>171599.83241248096</v>
      </c>
      <c r="J119" s="3">
        <f>'Előrejelzési variáns'!AE29</f>
        <v>11710.731288866447</v>
      </c>
      <c r="K119" s="3">
        <f>'Előrejelzési variáns'!AF29</f>
        <v>2549.4636417786778</v>
      </c>
      <c r="L119" s="3">
        <f t="shared" si="94"/>
        <v>185860.0273431261</v>
      </c>
      <c r="M119" s="3">
        <f t="shared" si="95"/>
        <v>28551.622438060265</v>
      </c>
      <c r="N119" s="3">
        <f t="shared" si="96"/>
        <v>-700.09351180162957</v>
      </c>
      <c r="O119" s="3">
        <f t="shared" si="97"/>
        <v>13.601881470580338</v>
      </c>
      <c r="P119" s="3">
        <f t="shared" si="98"/>
        <v>27865.13080772922</v>
      </c>
    </row>
    <row r="120" spans="3:16" x14ac:dyDescent="0.35">
      <c r="D120" s="183" t="str">
        <f t="shared" si="92"/>
        <v>ipar-épip.</v>
      </c>
      <c r="E120" s="3">
        <f>'Bazis modell FES adatai'!BL12</f>
        <v>60525.046540381991</v>
      </c>
      <c r="F120" s="3">
        <f>'Bazis modell FES adatai'!BM12</f>
        <v>551104.66037370695</v>
      </c>
      <c r="G120" s="3">
        <f>'Bazis modell FES adatai'!BN12</f>
        <v>67137.666873111972</v>
      </c>
      <c r="H120" s="3">
        <f t="shared" si="93"/>
        <v>678767.37378720089</v>
      </c>
      <c r="I120" s="3">
        <f>'Előrejelzési variáns'!AD30</f>
        <v>72605.507226859801</v>
      </c>
      <c r="J120" s="3">
        <f>'Előrejelzési variáns'!AE30</f>
        <v>520016.89600284072</v>
      </c>
      <c r="K120" s="3">
        <f>'Előrejelzési variáns'!AF30</f>
        <v>67497.780583296408</v>
      </c>
      <c r="L120" s="3">
        <f t="shared" si="94"/>
        <v>660120.18381299695</v>
      </c>
      <c r="M120" s="3">
        <f t="shared" si="95"/>
        <v>12080.460686477811</v>
      </c>
      <c r="N120" s="3">
        <f t="shared" si="96"/>
        <v>-31087.764370866236</v>
      </c>
      <c r="O120" s="3">
        <f t="shared" si="97"/>
        <v>360.11371018443606</v>
      </c>
      <c r="P120" s="3">
        <f t="shared" si="98"/>
        <v>-18647.18997420399</v>
      </c>
    </row>
    <row r="121" spans="3:16" x14ac:dyDescent="0.35">
      <c r="D121" s="183" t="str">
        <f t="shared" si="92"/>
        <v>Összeszerelők</v>
      </c>
      <c r="E121" s="3">
        <f>'Bazis modell FES adatai'!BL13</f>
        <v>97086.198167244627</v>
      </c>
      <c r="F121" s="3">
        <f>'Bazis modell FES adatai'!BM13</f>
        <v>731026.98385761725</v>
      </c>
      <c r="G121" s="3">
        <f>'Bazis modell FES adatai'!BN13</f>
        <v>22368.151668307415</v>
      </c>
      <c r="H121" s="3">
        <f t="shared" si="93"/>
        <v>850481.33369316929</v>
      </c>
      <c r="I121" s="3">
        <f>'Előrejelzési variáns'!AD31</f>
        <v>116464.06017973355</v>
      </c>
      <c r="J121" s="3">
        <f>'Előrejelzési variáns'!AE31</f>
        <v>689789.81738637004</v>
      </c>
      <c r="K121" s="3">
        <f>'Előrejelzési variáns'!AF31</f>
        <v>22488.130190981825</v>
      </c>
      <c r="L121" s="3">
        <f t="shared" si="94"/>
        <v>828742.00775708538</v>
      </c>
      <c r="M121" s="3">
        <f t="shared" si="95"/>
        <v>19377.862012488928</v>
      </c>
      <c r="N121" s="3">
        <f t="shared" si="96"/>
        <v>-41237.166471247212</v>
      </c>
      <c r="O121" s="3">
        <f t="shared" si="97"/>
        <v>119.97852267440976</v>
      </c>
      <c r="P121" s="3">
        <f t="shared" si="98"/>
        <v>-21739.325936083875</v>
      </c>
    </row>
    <row r="122" spans="3:16" x14ac:dyDescent="0.35">
      <c r="D122" s="183" t="str">
        <f t="shared" si="92"/>
        <v>szakképzetlen</v>
      </c>
      <c r="E122" s="3">
        <f>'Bazis modell FES adatai'!BL14</f>
        <v>94723.652604167364</v>
      </c>
      <c r="F122" s="3">
        <f>'Bazis modell FES adatai'!BM14</f>
        <v>134810.23190457959</v>
      </c>
      <c r="G122" s="3">
        <f>'Bazis modell FES adatai'!BN14</f>
        <v>126975.35911302209</v>
      </c>
      <c r="H122" s="3">
        <f t="shared" si="93"/>
        <v>356509.24362176907</v>
      </c>
      <c r="I122" s="3">
        <f>'Előrejelzési variáns'!AD32</f>
        <v>113629.96373935585</v>
      </c>
      <c r="J122" s="3">
        <f>'Előrejelzési variáns'!AE32</f>
        <v>127205.59883653492</v>
      </c>
      <c r="K122" s="3">
        <f>'Előrejelzési variáns'!AF32</f>
        <v>127656.43085414487</v>
      </c>
      <c r="L122" s="3">
        <f t="shared" si="94"/>
        <v>368491.99343003565</v>
      </c>
      <c r="M122" s="3">
        <f t="shared" si="95"/>
        <v>18906.311135188487</v>
      </c>
      <c r="N122" s="3">
        <f t="shared" si="96"/>
        <v>-7604.6330680446699</v>
      </c>
      <c r="O122" s="3">
        <f t="shared" si="97"/>
        <v>681.07174112278153</v>
      </c>
      <c r="P122" s="3">
        <f t="shared" si="98"/>
        <v>11982.749808266599</v>
      </c>
    </row>
    <row r="123" spans="3:16" x14ac:dyDescent="0.35">
      <c r="D123" s="183" t="str">
        <f t="shared" si="92"/>
        <v>összesen</v>
      </c>
      <c r="E123" s="3">
        <f>'Bazis modell FES adatai'!BL15</f>
        <v>893915.73608493118</v>
      </c>
      <c r="F123" s="3">
        <f>'Bazis modell FES adatai'!BM15</f>
        <v>2333118.6522526573</v>
      </c>
      <c r="G123" s="3">
        <f>'Bazis modell FES adatai'!BN15</f>
        <v>1756856.6244289477</v>
      </c>
      <c r="H123" s="3">
        <f t="shared" si="93"/>
        <v>4983891.0127665363</v>
      </c>
      <c r="I123" s="3">
        <f>'Előrejelzési variáns'!AD33</f>
        <v>1072336.3160607417</v>
      </c>
      <c r="J123" s="3">
        <f>'Előrejelzési variáns'!AE33</f>
        <v>2201507.6387269869</v>
      </c>
      <c r="K123" s="3">
        <f>'Előrejelzési variáns'!AF33</f>
        <v>1766280.0701152708</v>
      </c>
      <c r="L123" s="3">
        <f t="shared" si="94"/>
        <v>5040124.0249029994</v>
      </c>
      <c r="M123" s="3">
        <f t="shared" si="95"/>
        <v>178420.57997581048</v>
      </c>
      <c r="N123" s="3">
        <f t="shared" si="96"/>
        <v>-131611.01352567039</v>
      </c>
      <c r="O123" s="3">
        <f t="shared" si="97"/>
        <v>9423.4456863231026</v>
      </c>
      <c r="P123" s="3">
        <f t="shared" si="98"/>
        <v>56233.012136463192</v>
      </c>
    </row>
    <row r="124" spans="3:16" x14ac:dyDescent="0.35">
      <c r="D124" s="18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</row>
    <row r="125" spans="3:16" x14ac:dyDescent="0.35">
      <c r="D125" s="183" t="str">
        <f t="shared" si="92"/>
        <v>0-7 osztály</v>
      </c>
      <c r="E125" s="3">
        <f>'Bazis modell FES adatai'!BL17</f>
        <v>3463.7845736735153</v>
      </c>
      <c r="F125" s="3">
        <f>'Bazis modell FES adatai'!BM17</f>
        <v>2851.743538738403</v>
      </c>
      <c r="G125" s="3">
        <f>'Bazis modell FES adatai'!BN17</f>
        <v>5264.3229720485306</v>
      </c>
      <c r="H125" s="3">
        <f t="shared" si="93"/>
        <v>11579.85108446045</v>
      </c>
      <c r="I125" s="3">
        <f>'Előrejelzési variáns'!AD35</f>
        <v>4155.1365966872117</v>
      </c>
      <c r="J125" s="3">
        <f>'Előrejelzési variáns'!AE35</f>
        <v>2690.8769419683395</v>
      </c>
      <c r="K125" s="3">
        <f>'Előrejelzési variáns'!AF35</f>
        <v>5292.5598019141926</v>
      </c>
      <c r="L125" s="3">
        <f t="shared" si="94"/>
        <v>12138.573340569743</v>
      </c>
      <c r="M125" s="3">
        <f t="shared" si="95"/>
        <v>691.35202301369645</v>
      </c>
      <c r="N125" s="3">
        <f t="shared" si="96"/>
        <v>-160.86659677006355</v>
      </c>
      <c r="O125" s="3">
        <f t="shared" si="97"/>
        <v>28.236829865662003</v>
      </c>
      <c r="P125" s="3">
        <f t="shared" si="98"/>
        <v>558.7222561092949</v>
      </c>
    </row>
    <row r="126" spans="3:16" x14ac:dyDescent="0.35">
      <c r="D126" s="183" t="str">
        <f t="shared" si="92"/>
        <v>8 osztály</v>
      </c>
      <c r="E126" s="3">
        <f>'Bazis modell FES adatai'!BL18</f>
        <v>101769.94107046125</v>
      </c>
      <c r="F126" s="3">
        <f>'Bazis modell FES adatai'!BM18</f>
        <v>263207.08309300453</v>
      </c>
      <c r="G126" s="3">
        <f>'Bazis modell FES adatai'!BN18</f>
        <v>87314.920225931666</v>
      </c>
      <c r="H126" s="3">
        <f t="shared" si="93"/>
        <v>452291.94438939745</v>
      </c>
      <c r="I126" s="3">
        <f>'Előrejelzési variáns'!AD36</f>
        <v>122082.65196357231</v>
      </c>
      <c r="J126" s="3">
        <f>'Előrejelzési variáns'!AE36</f>
        <v>248359.59518682401</v>
      </c>
      <c r="K126" s="3">
        <f>'Előrejelzési variáns'!AF36</f>
        <v>87783.260895804007</v>
      </c>
      <c r="L126" s="3">
        <f t="shared" si="94"/>
        <v>458225.50804620038</v>
      </c>
      <c r="M126" s="3">
        <f t="shared" si="95"/>
        <v>20312.710893111056</v>
      </c>
      <c r="N126" s="3">
        <f t="shared" si="96"/>
        <v>-14847.487906180526</v>
      </c>
      <c r="O126" s="3">
        <f t="shared" si="97"/>
        <v>468.3406698723411</v>
      </c>
      <c r="P126" s="3">
        <f t="shared" si="98"/>
        <v>5933.5636568028713</v>
      </c>
    </row>
    <row r="127" spans="3:16" x14ac:dyDescent="0.35">
      <c r="D127" s="183" t="str">
        <f t="shared" si="92"/>
        <v>szakiskola</v>
      </c>
      <c r="E127" s="3">
        <f>'Bazis modell FES adatai'!BL19</f>
        <v>186941.48373215669</v>
      </c>
      <c r="F127" s="3">
        <f>'Bazis modell FES adatai'!BM19</f>
        <v>766252.88477640785</v>
      </c>
      <c r="G127" s="3">
        <f>'Bazis modell FES adatai'!BN19</f>
        <v>293501.95286340336</v>
      </c>
      <c r="H127" s="3">
        <f t="shared" si="93"/>
        <v>1246696.3213719679</v>
      </c>
      <c r="I127" s="3">
        <f>'Előrejelzési variáns'!AD37</f>
        <v>224253.95805452499</v>
      </c>
      <c r="J127" s="3">
        <f>'Előrejelzési variáns'!AE37</f>
        <v>723028.62839963846</v>
      </c>
      <c r="K127" s="3">
        <f>'Előrejelzési variáns'!AF37</f>
        <v>295076.24166601815</v>
      </c>
      <c r="L127" s="3">
        <f t="shared" si="94"/>
        <v>1242358.8281201816</v>
      </c>
      <c r="M127" s="3">
        <f t="shared" si="95"/>
        <v>37312.474322368304</v>
      </c>
      <c r="N127" s="3">
        <f t="shared" si="96"/>
        <v>-43224.256376769394</v>
      </c>
      <c r="O127" s="3">
        <f t="shared" si="97"/>
        <v>1574.2888026147848</v>
      </c>
      <c r="P127" s="3">
        <f t="shared" si="98"/>
        <v>-4337.4932517863053</v>
      </c>
    </row>
    <row r="128" spans="3:16" x14ac:dyDescent="0.35">
      <c r="D128" s="183" t="str">
        <f t="shared" si="92"/>
        <v>Gimnázium</v>
      </c>
      <c r="E128" s="3">
        <f>'Bazis modell FES adatai'!BL20</f>
        <v>173718.06784817504</v>
      </c>
      <c r="F128" s="3">
        <f>'Bazis modell FES adatai'!BM20</f>
        <v>365731.09753010859</v>
      </c>
      <c r="G128" s="3">
        <f>'Bazis modell FES adatai'!BN20</f>
        <v>332414.55218431726</v>
      </c>
      <c r="H128" s="3">
        <f t="shared" si="93"/>
        <v>871863.71756260085</v>
      </c>
      <c r="I128" s="3">
        <f>'Előrejelzési variáns'!AD38</f>
        <v>208391.22233754158</v>
      </c>
      <c r="J128" s="3">
        <f>'Előrejelzési variáns'!AE38</f>
        <v>345100.23918206914</v>
      </c>
      <c r="K128" s="3">
        <f>'Előrejelzési variáns'!AF38</f>
        <v>334197.56078860245</v>
      </c>
      <c r="L128" s="3">
        <f t="shared" si="94"/>
        <v>887689.02230821317</v>
      </c>
      <c r="M128" s="3">
        <f t="shared" si="95"/>
        <v>34673.154489366541</v>
      </c>
      <c r="N128" s="3">
        <f t="shared" si="96"/>
        <v>-20630.858348039445</v>
      </c>
      <c r="O128" s="3">
        <f t="shared" si="97"/>
        <v>1783.0086042851908</v>
      </c>
      <c r="P128" s="3">
        <f t="shared" si="98"/>
        <v>15825.304745612288</v>
      </c>
    </row>
    <row r="129" spans="4:38" x14ac:dyDescent="0.35">
      <c r="D129" s="183" t="str">
        <f t="shared" si="92"/>
        <v>Technikum</v>
      </c>
      <c r="E129" s="3">
        <f>'Bazis modell FES adatai'!BL21</f>
        <v>142599.08524716127</v>
      </c>
      <c r="F129" s="3">
        <f>'Bazis modell FES adatai'!BM21</f>
        <v>428949.51192779554</v>
      </c>
      <c r="G129" s="3">
        <f>'Bazis modell FES adatai'!BN21</f>
        <v>348972.25511408277</v>
      </c>
      <c r="H129" s="3">
        <f t="shared" si="93"/>
        <v>920520.85228903964</v>
      </c>
      <c r="I129" s="3">
        <f>'Előrejelzési variáns'!AD39</f>
        <v>171061.06490225627</v>
      </c>
      <c r="J129" s="3">
        <f>'Előrejelzési variáns'!AE39</f>
        <v>404752.50850422296</v>
      </c>
      <c r="K129" s="3">
        <f>'Előrejelzési variáns'!AF39</f>
        <v>350844.07609615644</v>
      </c>
      <c r="L129" s="3">
        <f t="shared" si="94"/>
        <v>926657.6495026357</v>
      </c>
      <c r="M129" s="3">
        <f t="shared" si="95"/>
        <v>28461.979655094998</v>
      </c>
      <c r="N129" s="3">
        <f t="shared" si="96"/>
        <v>-24197.003423572576</v>
      </c>
      <c r="O129" s="3">
        <f t="shared" si="97"/>
        <v>1871.8209820736665</v>
      </c>
      <c r="P129" s="3">
        <f t="shared" si="98"/>
        <v>6136.7972135960881</v>
      </c>
    </row>
    <row r="130" spans="4:38" x14ac:dyDescent="0.35">
      <c r="D130" s="183" t="str">
        <f t="shared" si="92"/>
        <v>Főiskola</v>
      </c>
      <c r="E130" s="3">
        <f>'Bazis modell FES adatai'!BL22</f>
        <v>160768.11846428172</v>
      </c>
      <c r="F130" s="3">
        <f>'Bazis modell FES adatai'!BM22</f>
        <v>247055.62832377065</v>
      </c>
      <c r="G130" s="3">
        <f>'Bazis modell FES adatai'!BN22</f>
        <v>378754.29643410363</v>
      </c>
      <c r="H130" s="3">
        <f t="shared" si="93"/>
        <v>786578.043222156</v>
      </c>
      <c r="I130" s="3">
        <f>'Előrejelzési variáns'!AD40</f>
        <v>192856.53550417558</v>
      </c>
      <c r="J130" s="3">
        <f>'Előrejelzési variáns'!AE40</f>
        <v>233119.24252979536</v>
      </c>
      <c r="K130" s="3">
        <f>'Előrejelzési variáns'!AF40</f>
        <v>380785.86263664928</v>
      </c>
      <c r="L130" s="3">
        <f t="shared" si="94"/>
        <v>806761.64067062025</v>
      </c>
      <c r="M130" s="3">
        <f t="shared" si="95"/>
        <v>32088.417039893859</v>
      </c>
      <c r="N130" s="3">
        <f t="shared" si="96"/>
        <v>-13936.385793975292</v>
      </c>
      <c r="O130" s="3">
        <f t="shared" si="97"/>
        <v>2031.566202545655</v>
      </c>
      <c r="P130" s="3">
        <f t="shared" si="98"/>
        <v>20183.597448464221</v>
      </c>
    </row>
    <row r="131" spans="4:38" x14ac:dyDescent="0.35">
      <c r="D131" s="183" t="str">
        <f t="shared" si="92"/>
        <v>Egyetem</v>
      </c>
      <c r="E131" s="3">
        <f>'Bazis modell FES adatai'!BL23</f>
        <v>124655.25514902337</v>
      </c>
      <c r="F131" s="3">
        <f>'Bazis modell FES adatai'!BM23</f>
        <v>259070.70306283585</v>
      </c>
      <c r="G131" s="3">
        <f>'Bazis modell FES adatai'!BN23</f>
        <v>310634.32463505823</v>
      </c>
      <c r="H131" s="3">
        <f t="shared" si="93"/>
        <v>694360.2828469174</v>
      </c>
      <c r="I131" s="3">
        <f>'Előrejelzési variáns'!AD41</f>
        <v>149535.74670198589</v>
      </c>
      <c r="J131" s="3">
        <f>'Előrejelzési variáns'!AE41</f>
        <v>244456.5479824729</v>
      </c>
      <c r="K131" s="3">
        <f>'Előrejelzési variáns'!AF41</f>
        <v>312300.50823012396</v>
      </c>
      <c r="L131" s="3">
        <f t="shared" si="94"/>
        <v>706292.80291458266</v>
      </c>
      <c r="M131" s="3">
        <f t="shared" si="95"/>
        <v>24880.491552962514</v>
      </c>
      <c r="N131" s="3">
        <f t="shared" si="96"/>
        <v>-14614.155080362951</v>
      </c>
      <c r="O131" s="3">
        <f t="shared" si="97"/>
        <v>1666.183595065726</v>
      </c>
      <c r="P131" s="3">
        <f t="shared" si="98"/>
        <v>11932.520067665289</v>
      </c>
    </row>
    <row r="132" spans="4:38" x14ac:dyDescent="0.35">
      <c r="D132" s="183" t="str">
        <f t="shared" si="92"/>
        <v>Összesen</v>
      </c>
      <c r="E132" s="3">
        <f>'Bazis modell FES adatai'!BL24</f>
        <v>893915.73608493293</v>
      </c>
      <c r="F132" s="3">
        <f>'Bazis modell FES adatai'!BM24</f>
        <v>2333118.6522526615</v>
      </c>
      <c r="G132" s="3">
        <f>'Bazis modell FES adatai'!BN24</f>
        <v>1756856.6244289456</v>
      </c>
      <c r="H132" s="3">
        <f t="shared" si="93"/>
        <v>4983891.0127665401</v>
      </c>
      <c r="I132" s="3">
        <f>'Előrejelzési variáns'!AD42</f>
        <v>1072336.316060744</v>
      </c>
      <c r="J132" s="3">
        <f>'Előrejelzési variáns'!AE42</f>
        <v>2201507.6387269911</v>
      </c>
      <c r="K132" s="3">
        <f>'Előrejelzési variáns'!AF42</f>
        <v>1766280.0701152685</v>
      </c>
      <c r="L132" s="3">
        <f t="shared" si="94"/>
        <v>5040124.0249030031</v>
      </c>
      <c r="M132" s="3">
        <f t="shared" si="95"/>
        <v>178420.57997581107</v>
      </c>
      <c r="N132" s="3">
        <f t="shared" si="96"/>
        <v>-131611.01352567039</v>
      </c>
      <c r="O132" s="3">
        <f t="shared" si="97"/>
        <v>9423.4456863228697</v>
      </c>
      <c r="P132" s="3">
        <f t="shared" si="98"/>
        <v>56233.012136463542</v>
      </c>
    </row>
    <row r="133" spans="4:38" x14ac:dyDescent="0.35">
      <c r="E133" s="3"/>
      <c r="F133" s="3"/>
      <c r="G133" s="3"/>
      <c r="H133" s="3"/>
      <c r="S133" t="s">
        <v>1167</v>
      </c>
      <c r="Z133" t="str">
        <f>S133</f>
        <v>Foglalkoztatottak száma összesen - ezer fő</v>
      </c>
      <c r="AD133" s="213" t="s">
        <v>1176</v>
      </c>
      <c r="AH133" t="str">
        <f>S133</f>
        <v>Foglalkoztatottak száma összesen - ezer fő</v>
      </c>
    </row>
    <row r="134" spans="4:38" ht="29" x14ac:dyDescent="0.35">
      <c r="S134" s="183"/>
      <c r="T134" s="206" t="str">
        <f>E3</f>
        <v>Upstream</v>
      </c>
      <c r="U134" s="206" t="str">
        <f>F3</f>
        <v>Gyártás</v>
      </c>
      <c r="V134" s="206" t="str">
        <f>G3</f>
        <v>Down-stream</v>
      </c>
      <c r="W134" s="206" t="str">
        <f>H3</f>
        <v>Összesen</v>
      </c>
      <c r="AB134" s="206" t="str">
        <f>T134</f>
        <v>Upstream</v>
      </c>
      <c r="AC134" s="206" t="str">
        <f t="shared" ref="AC134:AE134" si="99">U134</f>
        <v>Gyártás</v>
      </c>
      <c r="AD134" s="206" t="str">
        <f t="shared" si="99"/>
        <v>Down-stream</v>
      </c>
      <c r="AE134" s="206" t="str">
        <f t="shared" si="99"/>
        <v>Összesen</v>
      </c>
      <c r="AI134" t="str">
        <f>T134</f>
        <v>Upstream</v>
      </c>
      <c r="AJ134" s="183" t="str">
        <f>U134</f>
        <v>Gyártás</v>
      </c>
      <c r="AK134" s="183" t="str">
        <f>V134</f>
        <v>Down-stream</v>
      </c>
      <c r="AL134" s="183" t="str">
        <f>W134</f>
        <v>Összesen</v>
      </c>
    </row>
    <row r="135" spans="4:38" x14ac:dyDescent="0.35">
      <c r="R135" s="413" t="str">
        <f>T134</f>
        <v>Upstream</v>
      </c>
      <c r="S135" s="3">
        <f>C50</f>
        <v>2011</v>
      </c>
      <c r="T135" s="3">
        <f>E60/10^3</f>
        <v>607.38800000000003</v>
      </c>
      <c r="AB135" s="3"/>
      <c r="AC135" s="3"/>
      <c r="AD135" s="3"/>
      <c r="AE135" s="3"/>
      <c r="AH135" s="3">
        <f>S135</f>
        <v>2011</v>
      </c>
      <c r="AI135" s="207">
        <f>T135/$W150</f>
        <v>0.16674769948692636</v>
      </c>
      <c r="AJ135" s="207">
        <f>U140/$W150</f>
        <v>0.43203359617982645</v>
      </c>
      <c r="AK135" s="207">
        <f>V145/$W150</f>
        <v>0.40121870433324724</v>
      </c>
      <c r="AL135" s="207">
        <f>W150/$W150</f>
        <v>1</v>
      </c>
    </row>
    <row r="136" spans="4:38" x14ac:dyDescent="0.35">
      <c r="R136" s="413"/>
      <c r="S136" s="3">
        <f>C71</f>
        <v>2015</v>
      </c>
      <c r="T136" s="3">
        <f>E81/10^3</f>
        <v>684.96</v>
      </c>
      <c r="AB136" s="3"/>
      <c r="AC136" s="3"/>
      <c r="AD136" s="3"/>
      <c r="AE136" s="3"/>
      <c r="AH136" s="3">
        <f>S136</f>
        <v>2015</v>
      </c>
      <c r="AI136" s="207">
        <f>T136/$W151</f>
        <v>0.17618534649064593</v>
      </c>
      <c r="AJ136" s="207">
        <f>U141/$W151</f>
        <v>0.42330576964825689</v>
      </c>
      <c r="AK136" s="207">
        <f>V146/$W151</f>
        <v>0.40050888386109712</v>
      </c>
      <c r="AL136" s="207">
        <f>W151/$W151</f>
        <v>1</v>
      </c>
    </row>
    <row r="137" spans="4:38" x14ac:dyDescent="0.35">
      <c r="R137" s="413"/>
      <c r="S137" s="3">
        <f>C92</f>
        <v>2020</v>
      </c>
      <c r="T137" s="3">
        <f>E102/10^3</f>
        <v>775.27531625160452</v>
      </c>
      <c r="AB137" s="3"/>
      <c r="AC137" s="3"/>
      <c r="AD137" s="3"/>
      <c r="AE137" s="3"/>
      <c r="AH137" s="3">
        <f>S137</f>
        <v>2020</v>
      </c>
      <c r="AI137" s="207">
        <f>T137/$W152</f>
        <v>0.17553683195458686</v>
      </c>
      <c r="AJ137" s="207">
        <f>U142/$W152</f>
        <v>0.4501435277529417</v>
      </c>
      <c r="AK137" s="207">
        <f>V147/$W152</f>
        <v>0.3743196402924715</v>
      </c>
      <c r="AL137" s="207">
        <f>W152/$W152</f>
        <v>1</v>
      </c>
    </row>
    <row r="138" spans="4:38" x14ac:dyDescent="0.35">
      <c r="R138" s="413"/>
      <c r="S138" s="3" t="s">
        <v>1177</v>
      </c>
      <c r="T138" s="3">
        <f>E123/10^3</f>
        <v>893.91573608493115</v>
      </c>
      <c r="AB138" s="3"/>
      <c r="AC138" s="3"/>
      <c r="AD138" s="3"/>
      <c r="AE138" s="3"/>
      <c r="AH138" s="3" t="str">
        <f>S138</f>
        <v>2025 bázismodell</v>
      </c>
      <c r="AI138" s="207">
        <f>T138/$W153</f>
        <v>0.17936101206770216</v>
      </c>
      <c r="AJ138" s="207">
        <f>U143/$W153</f>
        <v>0.46813195679364444</v>
      </c>
      <c r="AK138" s="207">
        <f>V148/$W153</f>
        <v>0.35250703113865328</v>
      </c>
      <c r="AL138" s="207">
        <f>W153/$W153</f>
        <v>1</v>
      </c>
    </row>
    <row r="139" spans="4:38" x14ac:dyDescent="0.35">
      <c r="R139" s="413"/>
      <c r="S139" s="183" t="s">
        <v>1178</v>
      </c>
      <c r="T139" s="3">
        <f>I123/10^3</f>
        <v>1072.3363160607416</v>
      </c>
      <c r="AB139" s="3">
        <f>T139-T138</f>
        <v>178.42057997581048</v>
      </c>
      <c r="AC139" s="3">
        <f>U144-U143</f>
        <v>-131.61101352567039</v>
      </c>
      <c r="AD139" s="3">
        <f>V149-V148</f>
        <v>9.4234456863230207</v>
      </c>
      <c r="AE139" s="3">
        <f>W154-W153</f>
        <v>56.233012136463003</v>
      </c>
      <c r="AH139" s="3" t="str">
        <f>S139</f>
        <v>2025 előrejelző modell</v>
      </c>
      <c r="AI139" s="207">
        <f>T139/$W154</f>
        <v>0.21275990645515502</v>
      </c>
      <c r="AJ139" s="207">
        <f>U144/$W154</f>
        <v>0.43679632244156058</v>
      </c>
      <c r="AK139" s="207">
        <f>V149/$W154</f>
        <v>0.35044377110328429</v>
      </c>
      <c r="AL139" s="207">
        <f>W154/$W154</f>
        <v>1</v>
      </c>
    </row>
    <row r="140" spans="4:38" x14ac:dyDescent="0.35">
      <c r="R140" s="413" t="str">
        <f>U134</f>
        <v>Gyártás</v>
      </c>
      <c r="S140" s="3">
        <f>S135</f>
        <v>2011</v>
      </c>
      <c r="U140" s="3">
        <f>F60/10^3</f>
        <v>1573.7070000000001</v>
      </c>
      <c r="AI140" s="183"/>
      <c r="AJ140" s="183"/>
      <c r="AK140" s="183"/>
      <c r="AL140" s="183"/>
    </row>
    <row r="141" spans="4:38" x14ac:dyDescent="0.35">
      <c r="R141" s="413"/>
      <c r="S141" s="3">
        <f t="shared" ref="S141:S154" si="100">S136</f>
        <v>2015</v>
      </c>
      <c r="U141" s="3">
        <f>F81/10^3</f>
        <v>1645.6959999999999</v>
      </c>
    </row>
    <row r="142" spans="4:38" x14ac:dyDescent="0.35">
      <c r="R142" s="413"/>
      <c r="S142" s="3">
        <f t="shared" si="100"/>
        <v>2020</v>
      </c>
      <c r="U142" s="3">
        <f>F102/10^3</f>
        <v>1988.1022230568724</v>
      </c>
    </row>
    <row r="143" spans="4:38" x14ac:dyDescent="0.35">
      <c r="R143" s="413"/>
      <c r="S143" s="3" t="str">
        <f t="shared" si="100"/>
        <v>2025 bázismodell</v>
      </c>
      <c r="U143" s="3">
        <f>F123/10^3</f>
        <v>2333.1186522526573</v>
      </c>
    </row>
    <row r="144" spans="4:38" x14ac:dyDescent="0.35">
      <c r="R144" s="413"/>
      <c r="S144" s="3" t="str">
        <f t="shared" si="100"/>
        <v>2025 előrejelző modell</v>
      </c>
      <c r="U144" s="3">
        <f>J123/10^3</f>
        <v>2201.5076387269869</v>
      </c>
    </row>
    <row r="145" spans="18:23" x14ac:dyDescent="0.35">
      <c r="R145" s="414" t="str">
        <f>V134</f>
        <v>Down-stream</v>
      </c>
      <c r="S145" s="3">
        <f>S140</f>
        <v>2011</v>
      </c>
      <c r="V145" s="3">
        <f>G60/10^3</f>
        <v>1461.462</v>
      </c>
    </row>
    <row r="146" spans="18:23" x14ac:dyDescent="0.35">
      <c r="R146" s="414"/>
      <c r="S146" s="3">
        <f t="shared" si="100"/>
        <v>2015</v>
      </c>
      <c r="V146" s="3">
        <f>G81/10^3</f>
        <v>1557.068</v>
      </c>
    </row>
    <row r="147" spans="18:23" x14ac:dyDescent="0.35">
      <c r="R147" s="414"/>
      <c r="S147" s="3">
        <f t="shared" si="100"/>
        <v>2020</v>
      </c>
      <c r="V147" s="3">
        <f>G102/10^3</f>
        <v>1653.2187249568826</v>
      </c>
    </row>
    <row r="148" spans="18:23" x14ac:dyDescent="0.35">
      <c r="R148" s="414"/>
      <c r="S148" s="3" t="str">
        <f t="shared" si="100"/>
        <v>2025 bázismodell</v>
      </c>
      <c r="V148" s="3">
        <f>G123/10^3</f>
        <v>1756.8566244289477</v>
      </c>
    </row>
    <row r="149" spans="18:23" x14ac:dyDescent="0.35">
      <c r="R149" s="414"/>
      <c r="S149" s="3" t="str">
        <f t="shared" si="100"/>
        <v>2025 előrejelző modell</v>
      </c>
      <c r="V149" s="3">
        <f>K123/10^3</f>
        <v>1766.2800701152707</v>
      </c>
    </row>
    <row r="150" spans="18:23" x14ac:dyDescent="0.35">
      <c r="R150" s="414" t="str">
        <f>W134</f>
        <v>Összesen</v>
      </c>
      <c r="S150" s="3">
        <f>S145</f>
        <v>2011</v>
      </c>
      <c r="W150" s="3">
        <f>H60/10^3</f>
        <v>3642.5569999999998</v>
      </c>
    </row>
    <row r="151" spans="18:23" x14ac:dyDescent="0.35">
      <c r="R151" s="414"/>
      <c r="S151" s="3">
        <f t="shared" si="100"/>
        <v>2015</v>
      </c>
      <c r="W151" s="3">
        <f>H81/10^3</f>
        <v>3887.7240000000002</v>
      </c>
    </row>
    <row r="152" spans="18:23" x14ac:dyDescent="0.35">
      <c r="R152" s="414"/>
      <c r="S152" s="3">
        <f t="shared" si="100"/>
        <v>2020</v>
      </c>
      <c r="W152" s="3">
        <f>H102/10^3</f>
        <v>4416.5962642653594</v>
      </c>
    </row>
    <row r="153" spans="18:23" x14ac:dyDescent="0.35">
      <c r="R153" s="414"/>
      <c r="S153" s="3" t="str">
        <f t="shared" si="100"/>
        <v>2025 bázismodell</v>
      </c>
      <c r="W153" s="3">
        <f>H123/10^3</f>
        <v>4983.8910127665367</v>
      </c>
    </row>
    <row r="154" spans="18:23" x14ac:dyDescent="0.35">
      <c r="R154" s="414"/>
      <c r="S154" s="3" t="str">
        <f t="shared" si="100"/>
        <v>2025 előrejelző modell</v>
      </c>
      <c r="W154" s="3">
        <f>L123/10^3</f>
        <v>5040.1240249029997</v>
      </c>
    </row>
    <row r="166" spans="30:30" x14ac:dyDescent="0.35">
      <c r="AD166" s="183">
        <v>2405</v>
      </c>
    </row>
    <row r="167" spans="30:30" x14ac:dyDescent="0.35">
      <c r="AD167" s="183">
        <v>-1683</v>
      </c>
    </row>
    <row r="168" spans="30:30" x14ac:dyDescent="0.35">
      <c r="AD168" s="183">
        <v>8662</v>
      </c>
    </row>
  </sheetData>
  <sheetProtection algorithmName="SHA-512" hashValue="II3i5YppSx3etv35AtFYMjMs/vYf6xT340J/60Mm99vHshUOR/ZzmQefcLqhaFoGhiTAKxsRxp5qLKb2yRKsZA==" saltValue="XdScnL0/tGVc3EPIdTRGpw==" spinCount="100000" sheet="1" formatCells="0" formatColumns="0" formatRows="0" insertColumns="0" insertRows="0" insertHyperlinks="0" deleteColumns="0" deleteRows="0"/>
  <mergeCells count="8">
    <mergeCell ref="R135:R139"/>
    <mergeCell ref="R140:R144"/>
    <mergeCell ref="R145:R149"/>
    <mergeCell ref="R150:R154"/>
    <mergeCell ref="B2:D3"/>
    <mergeCell ref="E2:H2"/>
    <mergeCell ref="I2:L2"/>
    <mergeCell ref="M2:P2"/>
  </mergeCells>
  <phoneticPr fontId="5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3744E-FA2D-4575-962B-C93FDE2D091B}">
  <dimension ref="B2:BJ145"/>
  <sheetViews>
    <sheetView workbookViewId="0"/>
  </sheetViews>
  <sheetFormatPr defaultColWidth="8.81640625" defaultRowHeight="14.5" x14ac:dyDescent="0.35"/>
  <cols>
    <col min="1" max="2" width="8.81640625" style="183"/>
    <col min="3" max="3" width="5.54296875" style="183" bestFit="1" customWidth="1"/>
    <col min="4" max="4" width="15" style="183" customWidth="1"/>
    <col min="5" max="17" width="10.7265625" style="183" customWidth="1"/>
    <col min="18" max="18" width="8.81640625" style="183"/>
    <col min="19" max="19" width="15.7265625" style="183" bestFit="1" customWidth="1"/>
    <col min="20" max="31" width="10.7265625" style="183" customWidth="1"/>
    <col min="32" max="35" width="8.81640625" style="183"/>
    <col min="36" max="47" width="10.7265625" style="183" customWidth="1"/>
    <col min="48" max="49" width="8.81640625" style="183"/>
    <col min="50" max="50" width="16.26953125" style="183" bestFit="1" customWidth="1"/>
    <col min="51" max="62" width="10.7265625" style="183" customWidth="1"/>
    <col min="63" max="16384" width="8.81640625" style="183"/>
  </cols>
  <sheetData>
    <row r="2" spans="2:17" x14ac:dyDescent="0.35">
      <c r="E2" s="354" t="s">
        <v>1152</v>
      </c>
      <c r="F2" s="354"/>
      <c r="G2" s="354"/>
      <c r="H2" s="354"/>
      <c r="I2" s="354" t="s">
        <v>1153</v>
      </c>
      <c r="J2" s="354"/>
      <c r="K2" s="354"/>
      <c r="L2" s="354"/>
      <c r="M2" s="354" t="s">
        <v>1155</v>
      </c>
      <c r="N2" s="354"/>
      <c r="O2" s="354"/>
      <c r="P2" s="354"/>
      <c r="Q2" s="51"/>
    </row>
    <row r="3" spans="2:17" ht="29" x14ac:dyDescent="0.35">
      <c r="E3" s="185" t="s">
        <v>0</v>
      </c>
      <c r="F3" s="185" t="s">
        <v>1</v>
      </c>
      <c r="G3" s="185" t="s">
        <v>1154</v>
      </c>
      <c r="H3" s="185" t="s">
        <v>21</v>
      </c>
      <c r="I3" s="185" t="str">
        <f t="shared" ref="I3:P3" si="0">E3</f>
        <v>Upstream</v>
      </c>
      <c r="J3" s="185" t="str">
        <f t="shared" si="0"/>
        <v>Gyártás</v>
      </c>
      <c r="K3" s="185" t="str">
        <f t="shared" si="0"/>
        <v>Down-stream</v>
      </c>
      <c r="L3" s="185" t="str">
        <f t="shared" si="0"/>
        <v>Összesen</v>
      </c>
      <c r="M3" s="185" t="str">
        <f t="shared" si="0"/>
        <v>Upstream</v>
      </c>
      <c r="N3" s="185" t="str">
        <f t="shared" si="0"/>
        <v>Gyártás</v>
      </c>
      <c r="O3" s="185" t="str">
        <f t="shared" si="0"/>
        <v>Down-stream</v>
      </c>
      <c r="P3" s="185" t="str">
        <f t="shared" si="0"/>
        <v>Összesen</v>
      </c>
      <c r="Q3" s="214"/>
    </row>
    <row r="4" spans="2:17" x14ac:dyDescent="0.35">
      <c r="B4" s="183" t="s">
        <v>1140</v>
      </c>
    </row>
    <row r="5" spans="2:17" x14ac:dyDescent="0.35">
      <c r="C5" s="183">
        <v>2011</v>
      </c>
      <c r="E5" s="207">
        <f>'Előrejelzési variáns'!C19</f>
        <v>0.50754178198319977</v>
      </c>
      <c r="F5" s="207">
        <f>'Előrejelzési variáns'!D19</f>
        <v>0.34414549197046868</v>
      </c>
      <c r="G5" s="207">
        <f>'Előrejelzési variáns'!E19</f>
        <v>0.60364200004006485</v>
      </c>
      <c r="H5" s="207">
        <f>'Előrejelzési variáns'!F19</f>
        <v>0.41541711686591082</v>
      </c>
      <c r="I5" s="200">
        <f t="shared" ref="I5:L7" si="1">E5</f>
        <v>0.50754178198319977</v>
      </c>
      <c r="J5" s="200">
        <f t="shared" si="1"/>
        <v>0.34414549197046868</v>
      </c>
      <c r="K5" s="200">
        <f t="shared" si="1"/>
        <v>0.60364200004006485</v>
      </c>
      <c r="L5" s="200">
        <f t="shared" si="1"/>
        <v>0.41541711686591082</v>
      </c>
      <c r="M5" s="200">
        <f t="shared" ref="M5:P8" si="2">E5-I5</f>
        <v>0</v>
      </c>
      <c r="N5" s="200">
        <f t="shared" si="2"/>
        <v>0</v>
      </c>
      <c r="O5" s="200">
        <f t="shared" si="2"/>
        <v>0</v>
      </c>
      <c r="P5" s="200">
        <f t="shared" si="2"/>
        <v>0</v>
      </c>
      <c r="Q5" s="200"/>
    </row>
    <row r="6" spans="2:17" x14ac:dyDescent="0.35">
      <c r="C6" s="183">
        <v>2015</v>
      </c>
      <c r="E6" s="207">
        <f>'Előrejelzési variáns'!L19</f>
        <v>0.51640669906677039</v>
      </c>
      <c r="F6" s="207">
        <f>'Előrejelzési variáns'!M19</f>
        <v>0.35258581129842681</v>
      </c>
      <c r="G6" s="207">
        <f>'Előrejelzési variáns'!N19</f>
        <v>0.60277320999766226</v>
      </c>
      <c r="H6" s="207">
        <f>'Előrejelzési variáns'!P19</f>
        <v>0</v>
      </c>
      <c r="I6" s="200">
        <f t="shared" si="1"/>
        <v>0.51640669906677039</v>
      </c>
      <c r="J6" s="200">
        <f t="shared" si="1"/>
        <v>0.35258581129842681</v>
      </c>
      <c r="K6" s="200">
        <f t="shared" si="1"/>
        <v>0.60277320999766226</v>
      </c>
      <c r="L6" s="200">
        <f t="shared" si="1"/>
        <v>0</v>
      </c>
      <c r="M6" s="200">
        <f t="shared" si="2"/>
        <v>0</v>
      </c>
      <c r="N6" s="200">
        <f t="shared" si="2"/>
        <v>0</v>
      </c>
      <c r="O6" s="200">
        <f t="shared" si="2"/>
        <v>0</v>
      </c>
      <c r="P6" s="200">
        <f t="shared" si="2"/>
        <v>0</v>
      </c>
      <c r="Q6" s="200"/>
    </row>
    <row r="7" spans="2:17" x14ac:dyDescent="0.35">
      <c r="C7" s="183">
        <v>2020</v>
      </c>
      <c r="E7" s="207">
        <f>'Előrejelzési variáns'!U19</f>
        <v>0.53335815894460592</v>
      </c>
      <c r="F7" s="207">
        <f>'Előrejelzési variáns'!V19</f>
        <v>0.36008981423930164</v>
      </c>
      <c r="G7" s="207">
        <f>'Előrejelzési variáns'!W19</f>
        <v>0.60949687890009385</v>
      </c>
      <c r="H7" s="207">
        <f>'Előrejelzési variáns'!X19</f>
        <v>0.42969869401717004</v>
      </c>
      <c r="I7" s="200">
        <f t="shared" si="1"/>
        <v>0.53335815894460592</v>
      </c>
      <c r="J7" s="200">
        <f t="shared" si="1"/>
        <v>0.36008981423930164</v>
      </c>
      <c r="K7" s="200">
        <f t="shared" si="1"/>
        <v>0.60949687890009385</v>
      </c>
      <c r="L7" s="200">
        <f t="shared" si="1"/>
        <v>0.42969869401717004</v>
      </c>
      <c r="M7" s="200">
        <f t="shared" si="2"/>
        <v>0</v>
      </c>
      <c r="N7" s="200">
        <f t="shared" si="2"/>
        <v>0</v>
      </c>
      <c r="O7" s="200">
        <f t="shared" si="2"/>
        <v>0</v>
      </c>
      <c r="P7" s="200">
        <f t="shared" si="2"/>
        <v>0</v>
      </c>
      <c r="Q7" s="200"/>
    </row>
    <row r="8" spans="2:17" x14ac:dyDescent="0.35">
      <c r="C8" s="183">
        <v>2025</v>
      </c>
      <c r="E8" s="207">
        <f>Variánsképzés!U65</f>
        <v>0.53335815894460581</v>
      </c>
      <c r="F8" s="207">
        <f>Variánsképzés!V65</f>
        <v>0.36008981423930164</v>
      </c>
      <c r="G8" s="207">
        <f>Variánsképzés!W65</f>
        <v>0.60949687890009385</v>
      </c>
      <c r="H8" s="207">
        <f>Variánsképzés!X65</f>
        <v>0.42834088387018976</v>
      </c>
      <c r="I8" s="200">
        <f>'Előrejelzési variáns'!AD19</f>
        <v>0.55667733127806485</v>
      </c>
      <c r="J8" s="200">
        <f>'Előrejelzési variáns'!AE19</f>
        <v>0.34812546309778647</v>
      </c>
      <c r="K8" s="200">
        <f>'Előrejelzési variáns'!AF19</f>
        <v>0.60624509520424796</v>
      </c>
      <c r="L8" s="200">
        <f>'Előrejelzési variáns'!AG19</f>
        <v>0.43073416019972499</v>
      </c>
      <c r="M8" s="200">
        <f t="shared" si="2"/>
        <v>-2.3319172333459037E-2</v>
      </c>
      <c r="N8" s="200">
        <f t="shared" si="2"/>
        <v>1.1964351141515173E-2</v>
      </c>
      <c r="O8" s="200">
        <f t="shared" si="2"/>
        <v>3.251783695845889E-3</v>
      </c>
      <c r="P8" s="200">
        <f t="shared" si="2"/>
        <v>-2.3932763295352322E-3</v>
      </c>
      <c r="Q8" s="200"/>
    </row>
    <row r="10" spans="2:17" x14ac:dyDescent="0.35">
      <c r="B10" s="183" t="s">
        <v>1159</v>
      </c>
      <c r="C10" s="183">
        <v>2011</v>
      </c>
      <c r="D10" s="183" t="str">
        <f>'Bazis modell FES adatai'!C68</f>
        <v>Fegyveresek</v>
      </c>
      <c r="E10" s="3">
        <f>'Előrejelzési variáns'!C23</f>
        <v>104</v>
      </c>
      <c r="F10" s="3">
        <f>'Előrejelzési variáns'!D23</f>
        <v>0</v>
      </c>
      <c r="G10" s="3">
        <f>'Előrejelzési variáns'!E23</f>
        <v>11935</v>
      </c>
      <c r="H10" s="3">
        <f>'Előrejelzési variáns'!F23</f>
        <v>12039</v>
      </c>
      <c r="I10" s="3">
        <f t="shared" ref="I10:I20" si="3">E10</f>
        <v>104</v>
      </c>
      <c r="J10" s="3">
        <f t="shared" ref="J10:J20" si="4">F10</f>
        <v>0</v>
      </c>
      <c r="K10" s="3">
        <f t="shared" ref="K10:K20" si="5">G10</f>
        <v>11935</v>
      </c>
      <c r="L10" s="3">
        <f t="shared" ref="L10:L20" si="6">H10</f>
        <v>12039</v>
      </c>
      <c r="M10" s="3">
        <f t="shared" ref="M10:M29" si="7">E10-I10</f>
        <v>0</v>
      </c>
      <c r="N10" s="3">
        <f t="shared" ref="N10:N29" si="8">F10-J10</f>
        <v>0</v>
      </c>
      <c r="O10" s="3">
        <f t="shared" ref="O10:O29" si="9">G10-K10</f>
        <v>0</v>
      </c>
      <c r="P10" s="3">
        <f t="shared" ref="P10:P29" si="10">H10-L10</f>
        <v>0</v>
      </c>
      <c r="Q10" s="3"/>
    </row>
    <row r="11" spans="2:17" x14ac:dyDescent="0.35">
      <c r="D11" s="183" t="str">
        <f>'Bazis modell FES adatai'!C69</f>
        <v>Vezetők</v>
      </c>
      <c r="E11" s="3">
        <f>'Előrejelzési variáns'!C24</f>
        <v>34662</v>
      </c>
      <c r="F11" s="3">
        <f>'Előrejelzési variáns'!D24</f>
        <v>86757</v>
      </c>
      <c r="G11" s="3">
        <f>'Előrejelzési variáns'!E24</f>
        <v>93076</v>
      </c>
      <c r="H11" s="3">
        <f>'Előrejelzési variáns'!F24</f>
        <v>214495</v>
      </c>
      <c r="I11" s="3">
        <f t="shared" si="3"/>
        <v>34662</v>
      </c>
      <c r="J11" s="3">
        <f t="shared" si="4"/>
        <v>86757</v>
      </c>
      <c r="K11" s="3">
        <f t="shared" si="5"/>
        <v>93076</v>
      </c>
      <c r="L11" s="3">
        <f t="shared" si="6"/>
        <v>214495</v>
      </c>
      <c r="M11" s="3">
        <f t="shared" si="7"/>
        <v>0</v>
      </c>
      <c r="N11" s="3">
        <f t="shared" si="8"/>
        <v>0</v>
      </c>
      <c r="O11" s="3">
        <f t="shared" si="9"/>
        <v>0</v>
      </c>
      <c r="P11" s="3">
        <f t="shared" si="10"/>
        <v>0</v>
      </c>
      <c r="Q11" s="3"/>
    </row>
    <row r="12" spans="2:17" x14ac:dyDescent="0.35">
      <c r="D12" s="183" t="str">
        <f>'Bazis modell FES adatai'!C70</f>
        <v>Felsőfokúak</v>
      </c>
      <c r="E12" s="3">
        <f>'Előrejelzési variáns'!C25</f>
        <v>103126</v>
      </c>
      <c r="F12" s="3">
        <f>'Előrejelzési variáns'!D25</f>
        <v>131446</v>
      </c>
      <c r="G12" s="3">
        <f>'Előrejelzési variáns'!E25</f>
        <v>361309</v>
      </c>
      <c r="H12" s="3">
        <f>'Előrejelzési variáns'!F25</f>
        <v>595881</v>
      </c>
      <c r="I12" s="3">
        <f t="shared" si="3"/>
        <v>103126</v>
      </c>
      <c r="J12" s="3">
        <f t="shared" si="4"/>
        <v>131446</v>
      </c>
      <c r="K12" s="3">
        <f t="shared" si="5"/>
        <v>361309</v>
      </c>
      <c r="L12" s="3">
        <f t="shared" si="6"/>
        <v>595881</v>
      </c>
      <c r="M12" s="3">
        <f t="shared" si="7"/>
        <v>0</v>
      </c>
      <c r="N12" s="3">
        <f t="shared" si="8"/>
        <v>0</v>
      </c>
      <c r="O12" s="3">
        <f t="shared" si="9"/>
        <v>0</v>
      </c>
      <c r="P12" s="3">
        <f t="shared" si="10"/>
        <v>0</v>
      </c>
      <c r="Q12" s="3"/>
    </row>
    <row r="13" spans="2:17" x14ac:dyDescent="0.35">
      <c r="D13" s="183" t="str">
        <f>'Bazis modell FES adatai'!C71</f>
        <v>Egyéb felső</v>
      </c>
      <c r="E13" s="3">
        <f>'Előrejelzési variáns'!C26</f>
        <v>108174</v>
      </c>
      <c r="F13" s="3">
        <f>'Előrejelzési variáns'!D26</f>
        <v>196489</v>
      </c>
      <c r="G13" s="3">
        <f>'Előrejelzési variáns'!E26</f>
        <v>253712</v>
      </c>
      <c r="H13" s="3">
        <f>'Előrejelzési variáns'!F26</f>
        <v>558375</v>
      </c>
      <c r="I13" s="3">
        <f t="shared" si="3"/>
        <v>108174</v>
      </c>
      <c r="J13" s="3">
        <f t="shared" si="4"/>
        <v>196489</v>
      </c>
      <c r="K13" s="3">
        <f t="shared" si="5"/>
        <v>253712</v>
      </c>
      <c r="L13" s="3">
        <f t="shared" si="6"/>
        <v>558375</v>
      </c>
      <c r="M13" s="3">
        <f t="shared" si="7"/>
        <v>0</v>
      </c>
      <c r="N13" s="3">
        <f t="shared" si="8"/>
        <v>0</v>
      </c>
      <c r="O13" s="3">
        <f t="shared" si="9"/>
        <v>0</v>
      </c>
      <c r="P13" s="3">
        <f t="shared" si="10"/>
        <v>0</v>
      </c>
      <c r="Q13" s="3"/>
    </row>
    <row r="14" spans="2:17" x14ac:dyDescent="0.35">
      <c r="D14" s="183" t="str">
        <f>'Bazis modell FES adatai'!C72</f>
        <v>Iroda-ügyvitel</v>
      </c>
      <c r="E14" s="3">
        <f>'Előrejelzési variáns'!C27</f>
        <v>94694</v>
      </c>
      <c r="F14" s="3">
        <f>'Előrejelzési variáns'!D27</f>
        <v>87414</v>
      </c>
      <c r="G14" s="3">
        <f>'Előrejelzési variáns'!E27</f>
        <v>86374</v>
      </c>
      <c r="H14" s="3">
        <f>'Előrejelzési variáns'!F27</f>
        <v>268482</v>
      </c>
      <c r="I14" s="3">
        <f t="shared" si="3"/>
        <v>94694</v>
      </c>
      <c r="J14" s="3">
        <f t="shared" si="4"/>
        <v>87414</v>
      </c>
      <c r="K14" s="3">
        <f t="shared" si="5"/>
        <v>86374</v>
      </c>
      <c r="L14" s="3">
        <f t="shared" si="6"/>
        <v>268482</v>
      </c>
      <c r="M14" s="3">
        <f t="shared" si="7"/>
        <v>0</v>
      </c>
      <c r="N14" s="3">
        <f t="shared" si="8"/>
        <v>0</v>
      </c>
      <c r="O14" s="3">
        <f t="shared" si="9"/>
        <v>0</v>
      </c>
      <c r="P14" s="3">
        <f t="shared" si="10"/>
        <v>0</v>
      </c>
      <c r="Q14" s="3"/>
    </row>
    <row r="15" spans="2:17" x14ac:dyDescent="0.35">
      <c r="D15" s="183" t="str">
        <f>'Bazis modell FES adatai'!C73</f>
        <v>Ker-szolg</v>
      </c>
      <c r="E15" s="3">
        <f>'Előrejelzési variáns'!C28</f>
        <v>37886</v>
      </c>
      <c r="F15" s="3">
        <f>'Előrejelzési variáns'!D28</f>
        <v>65243</v>
      </c>
      <c r="G15" s="3">
        <f>'Előrejelzési variáns'!E28</f>
        <v>453921</v>
      </c>
      <c r="H15" s="3">
        <f>'Előrejelzési variáns'!F28</f>
        <v>557050</v>
      </c>
      <c r="I15" s="3">
        <f t="shared" si="3"/>
        <v>37886</v>
      </c>
      <c r="J15" s="3">
        <f t="shared" si="4"/>
        <v>65243</v>
      </c>
      <c r="K15" s="3">
        <f t="shared" si="5"/>
        <v>453921</v>
      </c>
      <c r="L15" s="3">
        <f t="shared" si="6"/>
        <v>557050</v>
      </c>
      <c r="M15" s="3">
        <f t="shared" si="7"/>
        <v>0</v>
      </c>
      <c r="N15" s="3">
        <f t="shared" si="8"/>
        <v>0</v>
      </c>
      <c r="O15" s="3">
        <f t="shared" si="9"/>
        <v>0</v>
      </c>
      <c r="P15" s="3">
        <f t="shared" si="10"/>
        <v>0</v>
      </c>
      <c r="Q15" s="3"/>
    </row>
    <row r="16" spans="2:17" x14ac:dyDescent="0.35">
      <c r="D16" s="183" t="str">
        <f>'Bazis modell FES adatai'!C74</f>
        <v>Mező-erdő</v>
      </c>
      <c r="E16" s="3">
        <f>'Előrejelzési variáns'!C29</f>
        <v>84884</v>
      </c>
      <c r="F16" s="3">
        <f>'Előrejelzési variáns'!D29</f>
        <v>11946</v>
      </c>
      <c r="G16" s="3">
        <f>'Előrejelzési variáns'!E29</f>
        <v>4799</v>
      </c>
      <c r="H16" s="3">
        <f>'Előrejelzési variáns'!F29</f>
        <v>101629</v>
      </c>
      <c r="I16" s="3">
        <f t="shared" si="3"/>
        <v>84884</v>
      </c>
      <c r="J16" s="3">
        <f t="shared" si="4"/>
        <v>11946</v>
      </c>
      <c r="K16" s="3">
        <f t="shared" si="5"/>
        <v>4799</v>
      </c>
      <c r="L16" s="3">
        <f t="shared" si="6"/>
        <v>101629</v>
      </c>
      <c r="M16" s="3">
        <f t="shared" si="7"/>
        <v>0</v>
      </c>
      <c r="N16" s="3">
        <f t="shared" si="8"/>
        <v>0</v>
      </c>
      <c r="O16" s="3">
        <f t="shared" si="9"/>
        <v>0</v>
      </c>
      <c r="P16" s="3">
        <f t="shared" si="10"/>
        <v>0</v>
      </c>
      <c r="Q16" s="3"/>
    </row>
    <row r="17" spans="4:17" x14ac:dyDescent="0.35">
      <c r="D17" s="183" t="str">
        <f>'Bazis modell FES adatai'!C75</f>
        <v>ipar-épip.</v>
      </c>
      <c r="E17" s="3">
        <f>'Előrejelzési variáns'!C30</f>
        <v>39596</v>
      </c>
      <c r="F17" s="3">
        <f>'Előrejelzési variáns'!D30</f>
        <v>453326</v>
      </c>
      <c r="G17" s="3">
        <f>'Előrejelzési variáns'!E30</f>
        <v>38823</v>
      </c>
      <c r="H17" s="3">
        <f>'Előrejelzési variáns'!F30</f>
        <v>531745</v>
      </c>
      <c r="I17" s="3">
        <f t="shared" si="3"/>
        <v>39596</v>
      </c>
      <c r="J17" s="3">
        <f t="shared" si="4"/>
        <v>453326</v>
      </c>
      <c r="K17" s="3">
        <f t="shared" si="5"/>
        <v>38823</v>
      </c>
      <c r="L17" s="3">
        <f t="shared" si="6"/>
        <v>531745</v>
      </c>
      <c r="M17" s="3">
        <f t="shared" si="7"/>
        <v>0</v>
      </c>
      <c r="N17" s="3">
        <f t="shared" si="8"/>
        <v>0</v>
      </c>
      <c r="O17" s="3">
        <f t="shared" si="9"/>
        <v>0</v>
      </c>
      <c r="P17" s="3">
        <f t="shared" si="10"/>
        <v>0</v>
      </c>
      <c r="Q17" s="3"/>
    </row>
    <row r="18" spans="4:17" x14ac:dyDescent="0.35">
      <c r="D18" s="183" t="str">
        <f>'Bazis modell FES adatai'!C76</f>
        <v>Összeszerelők</v>
      </c>
      <c r="E18" s="3">
        <f>'Előrejelzési variáns'!C31</f>
        <v>49026</v>
      </c>
      <c r="F18" s="3">
        <f>'Előrejelzési variáns'!D31</f>
        <v>421335</v>
      </c>
      <c r="G18" s="3">
        <f>'Előrejelzési variáns'!E31</f>
        <v>28811</v>
      </c>
      <c r="H18" s="3">
        <f>'Előrejelzési variáns'!F31</f>
        <v>499172</v>
      </c>
      <c r="I18" s="3">
        <f t="shared" si="3"/>
        <v>49026</v>
      </c>
      <c r="J18" s="3">
        <f t="shared" si="4"/>
        <v>421335</v>
      </c>
      <c r="K18" s="3">
        <f t="shared" si="5"/>
        <v>28811</v>
      </c>
      <c r="L18" s="3">
        <f t="shared" si="6"/>
        <v>499172</v>
      </c>
      <c r="M18" s="3">
        <f t="shared" si="7"/>
        <v>0</v>
      </c>
      <c r="N18" s="3">
        <f t="shared" si="8"/>
        <v>0</v>
      </c>
      <c r="O18" s="3">
        <f t="shared" si="9"/>
        <v>0</v>
      </c>
      <c r="P18" s="3">
        <f t="shared" si="10"/>
        <v>0</v>
      </c>
      <c r="Q18" s="3"/>
    </row>
    <row r="19" spans="4:17" x14ac:dyDescent="0.35">
      <c r="D19" s="183" t="str">
        <f>'Bazis modell FES adatai'!C77</f>
        <v>szakképzetlen</v>
      </c>
      <c r="E19" s="3">
        <f>'Előrejelzési variáns'!C32</f>
        <v>55236</v>
      </c>
      <c r="F19" s="3">
        <f>'Előrejelzési variáns'!D32</f>
        <v>119751</v>
      </c>
      <c r="G19" s="3">
        <f>'Előrejelzési variáns'!E32</f>
        <v>128702</v>
      </c>
      <c r="H19" s="3">
        <f>'Előrejelzési variáns'!F32</f>
        <v>303689</v>
      </c>
      <c r="I19" s="3">
        <f t="shared" si="3"/>
        <v>55236</v>
      </c>
      <c r="J19" s="3">
        <f t="shared" si="4"/>
        <v>119751</v>
      </c>
      <c r="K19" s="3">
        <f t="shared" si="5"/>
        <v>128702</v>
      </c>
      <c r="L19" s="3">
        <f t="shared" si="6"/>
        <v>303689</v>
      </c>
      <c r="M19" s="3">
        <f t="shared" si="7"/>
        <v>0</v>
      </c>
      <c r="N19" s="3">
        <f t="shared" si="8"/>
        <v>0</v>
      </c>
      <c r="O19" s="3">
        <f t="shared" si="9"/>
        <v>0</v>
      </c>
      <c r="P19" s="3">
        <f t="shared" si="10"/>
        <v>0</v>
      </c>
      <c r="Q19" s="3"/>
    </row>
    <row r="20" spans="4:17" x14ac:dyDescent="0.35">
      <c r="D20" s="183" t="str">
        <f>'Bazis modell FES adatai'!C78</f>
        <v>összesen</v>
      </c>
      <c r="E20" s="3">
        <f>'Előrejelzési variáns'!C33</f>
        <v>607388</v>
      </c>
      <c r="F20" s="3">
        <f>'Előrejelzési variáns'!D33</f>
        <v>1573707</v>
      </c>
      <c r="G20" s="3">
        <f>'Előrejelzési variáns'!E33</f>
        <v>1461462</v>
      </c>
      <c r="H20" s="3">
        <f>'Előrejelzési variáns'!F33</f>
        <v>3642557</v>
      </c>
      <c r="I20" s="3">
        <f t="shared" si="3"/>
        <v>607388</v>
      </c>
      <c r="J20" s="3">
        <f t="shared" si="4"/>
        <v>1573707</v>
      </c>
      <c r="K20" s="3">
        <f t="shared" si="5"/>
        <v>1461462</v>
      </c>
      <c r="L20" s="3">
        <f t="shared" si="6"/>
        <v>3642557</v>
      </c>
      <c r="M20" s="3">
        <f t="shared" si="7"/>
        <v>0</v>
      </c>
      <c r="N20" s="3">
        <f t="shared" si="8"/>
        <v>0</v>
      </c>
      <c r="O20" s="3">
        <f t="shared" si="9"/>
        <v>0</v>
      </c>
      <c r="P20" s="3">
        <f t="shared" si="10"/>
        <v>0</v>
      </c>
      <c r="Q20" s="3"/>
    </row>
    <row r="21" spans="4:17" x14ac:dyDescent="0.35">
      <c r="E21" s="3"/>
      <c r="F21" s="3"/>
      <c r="G21" s="3"/>
      <c r="H21" s="3"/>
      <c r="I21" s="3"/>
      <c r="J21" s="3"/>
      <c r="K21" s="3"/>
      <c r="L21" s="3"/>
      <c r="M21" s="3">
        <f t="shared" si="7"/>
        <v>0</v>
      </c>
      <c r="N21" s="3">
        <f t="shared" si="8"/>
        <v>0</v>
      </c>
      <c r="O21" s="3">
        <f t="shared" si="9"/>
        <v>0</v>
      </c>
      <c r="P21" s="3">
        <f t="shared" si="10"/>
        <v>0</v>
      </c>
      <c r="Q21" s="3"/>
    </row>
    <row r="22" spans="4:17" x14ac:dyDescent="0.35">
      <c r="D22" s="183" t="str">
        <f>'Bazis modell FES adatai'!C81</f>
        <v>0-7 osztály</v>
      </c>
      <c r="E22" s="3">
        <f>'Előrejelzési variáns'!C35</f>
        <v>2266</v>
      </c>
      <c r="F22" s="3">
        <f>'Előrejelzési variáns'!D35</f>
        <v>3763</v>
      </c>
      <c r="G22" s="3">
        <f>'Előrejelzési variáns'!E35</f>
        <v>1601</v>
      </c>
      <c r="H22" s="3">
        <f>'Előrejelzési variáns'!F35</f>
        <v>7630</v>
      </c>
      <c r="I22" s="3">
        <f t="shared" ref="I22:L29" si="11">E22</f>
        <v>2266</v>
      </c>
      <c r="J22" s="3">
        <f t="shared" si="11"/>
        <v>3763</v>
      </c>
      <c r="K22" s="3">
        <f t="shared" si="11"/>
        <v>1601</v>
      </c>
      <c r="L22" s="3">
        <f t="shared" si="11"/>
        <v>7630</v>
      </c>
      <c r="M22" s="3">
        <f t="shared" si="7"/>
        <v>0</v>
      </c>
      <c r="N22" s="3">
        <f t="shared" si="8"/>
        <v>0</v>
      </c>
      <c r="O22" s="3">
        <f t="shared" si="9"/>
        <v>0</v>
      </c>
      <c r="P22" s="3">
        <f t="shared" si="10"/>
        <v>0</v>
      </c>
      <c r="Q22" s="3"/>
    </row>
    <row r="23" spans="4:17" x14ac:dyDescent="0.35">
      <c r="D23" s="183" t="str">
        <f>'Bazis modell FES adatai'!C82</f>
        <v>8 osztály</v>
      </c>
      <c r="E23" s="3">
        <f>'Előrejelzési variáns'!C36</f>
        <v>76738</v>
      </c>
      <c r="F23" s="3">
        <f>'Előrejelzési variáns'!D36</f>
        <v>198586</v>
      </c>
      <c r="G23" s="3">
        <f>'Előrejelzési variáns'!E36</f>
        <v>107797</v>
      </c>
      <c r="H23" s="3">
        <f>'Előrejelzési variáns'!F36</f>
        <v>383121</v>
      </c>
      <c r="I23" s="3">
        <f t="shared" si="11"/>
        <v>76738</v>
      </c>
      <c r="J23" s="3">
        <f t="shared" si="11"/>
        <v>198586</v>
      </c>
      <c r="K23" s="3">
        <f t="shared" si="11"/>
        <v>107797</v>
      </c>
      <c r="L23" s="3">
        <f t="shared" si="11"/>
        <v>383121</v>
      </c>
      <c r="M23" s="3">
        <f t="shared" si="7"/>
        <v>0</v>
      </c>
      <c r="N23" s="3">
        <f t="shared" si="8"/>
        <v>0</v>
      </c>
      <c r="O23" s="3">
        <f t="shared" si="9"/>
        <v>0</v>
      </c>
      <c r="P23" s="3">
        <f t="shared" si="10"/>
        <v>0</v>
      </c>
      <c r="Q23" s="3"/>
    </row>
    <row r="24" spans="4:17" x14ac:dyDescent="0.35">
      <c r="D24" s="183" t="str">
        <f>'Bazis modell FES adatai'!C83</f>
        <v>szakiskola</v>
      </c>
      <c r="E24" s="3">
        <f>'Előrejelzési variáns'!C37</f>
        <v>140433</v>
      </c>
      <c r="F24" s="3">
        <f>'Előrejelzési variáns'!D37</f>
        <v>608728</v>
      </c>
      <c r="G24" s="3">
        <f>'Előrejelzési variáns'!E37</f>
        <v>306667</v>
      </c>
      <c r="H24" s="3">
        <f>'Előrejelzési variáns'!F37</f>
        <v>1055828</v>
      </c>
      <c r="I24" s="3">
        <f t="shared" si="11"/>
        <v>140433</v>
      </c>
      <c r="J24" s="3">
        <f t="shared" si="11"/>
        <v>608728</v>
      </c>
      <c r="K24" s="3">
        <f t="shared" si="11"/>
        <v>306667</v>
      </c>
      <c r="L24" s="3">
        <f t="shared" si="11"/>
        <v>1055828</v>
      </c>
      <c r="M24" s="3">
        <f t="shared" si="7"/>
        <v>0</v>
      </c>
      <c r="N24" s="3">
        <f t="shared" si="8"/>
        <v>0</v>
      </c>
      <c r="O24" s="3">
        <f t="shared" si="9"/>
        <v>0</v>
      </c>
      <c r="P24" s="3">
        <f t="shared" si="10"/>
        <v>0</v>
      </c>
      <c r="Q24" s="3"/>
    </row>
    <row r="25" spans="4:17" x14ac:dyDescent="0.35">
      <c r="D25" s="183" t="str">
        <f>'Bazis modell FES adatai'!C84</f>
        <v>Gimnázium</v>
      </c>
      <c r="E25" s="3">
        <f>'Előrejelzési variáns'!C38</f>
        <v>58085</v>
      </c>
      <c r="F25" s="3">
        <f>'Előrejelzési variáns'!D38</f>
        <v>117874</v>
      </c>
      <c r="G25" s="3">
        <f>'Előrejelzési variáns'!E38</f>
        <v>154568</v>
      </c>
      <c r="H25" s="3">
        <f>'Előrejelzési variáns'!F38</f>
        <v>330527</v>
      </c>
      <c r="I25" s="3">
        <f t="shared" si="11"/>
        <v>58085</v>
      </c>
      <c r="J25" s="3">
        <f t="shared" si="11"/>
        <v>117874</v>
      </c>
      <c r="K25" s="3">
        <f t="shared" si="11"/>
        <v>154568</v>
      </c>
      <c r="L25" s="3">
        <f t="shared" si="11"/>
        <v>330527</v>
      </c>
      <c r="M25" s="3">
        <f t="shared" si="7"/>
        <v>0</v>
      </c>
      <c r="N25" s="3">
        <f t="shared" si="8"/>
        <v>0</v>
      </c>
      <c r="O25" s="3">
        <f t="shared" si="9"/>
        <v>0</v>
      </c>
      <c r="P25" s="3">
        <f t="shared" si="10"/>
        <v>0</v>
      </c>
      <c r="Q25" s="3"/>
    </row>
    <row r="26" spans="4:17" x14ac:dyDescent="0.35">
      <c r="D26" s="183" t="str">
        <f>'Bazis modell FES adatai'!C85</f>
        <v>Technikum</v>
      </c>
      <c r="E26" s="3">
        <f>'Előrejelzési variáns'!C39</f>
        <v>143226</v>
      </c>
      <c r="F26" s="3">
        <f>'Előrejelzési variáns'!D39</f>
        <v>387406</v>
      </c>
      <c r="G26" s="3">
        <f>'Előrejelzési variáns'!E39</f>
        <v>381006</v>
      </c>
      <c r="H26" s="3">
        <f>'Előrejelzési variáns'!F39</f>
        <v>911638</v>
      </c>
      <c r="I26" s="3">
        <f t="shared" si="11"/>
        <v>143226</v>
      </c>
      <c r="J26" s="3">
        <f t="shared" si="11"/>
        <v>387406</v>
      </c>
      <c r="K26" s="3">
        <f t="shared" si="11"/>
        <v>381006</v>
      </c>
      <c r="L26" s="3">
        <f t="shared" si="11"/>
        <v>911638</v>
      </c>
      <c r="M26" s="3">
        <f t="shared" si="7"/>
        <v>0</v>
      </c>
      <c r="N26" s="3">
        <f t="shared" si="8"/>
        <v>0</v>
      </c>
      <c r="O26" s="3">
        <f t="shared" si="9"/>
        <v>0</v>
      </c>
      <c r="P26" s="3">
        <f t="shared" si="10"/>
        <v>0</v>
      </c>
      <c r="Q26" s="3"/>
    </row>
    <row r="27" spans="4:17" x14ac:dyDescent="0.35">
      <c r="D27" s="183" t="str">
        <f>'Bazis modell FES adatai'!C86</f>
        <v>Főiskola</v>
      </c>
      <c r="E27" s="3">
        <f>'Előrejelzési variáns'!C40</f>
        <v>98060</v>
      </c>
      <c r="F27" s="3">
        <f>'Előrejelzési variáns'!D40</f>
        <v>156438</v>
      </c>
      <c r="G27" s="3">
        <f>'Előrejelzési variáns'!E40</f>
        <v>313223</v>
      </c>
      <c r="H27" s="3">
        <f>'Előrejelzési variáns'!F40</f>
        <v>567721</v>
      </c>
      <c r="I27" s="3">
        <f t="shared" si="11"/>
        <v>98060</v>
      </c>
      <c r="J27" s="3">
        <f t="shared" si="11"/>
        <v>156438</v>
      </c>
      <c r="K27" s="3">
        <f t="shared" si="11"/>
        <v>313223</v>
      </c>
      <c r="L27" s="3">
        <f t="shared" si="11"/>
        <v>567721</v>
      </c>
      <c r="M27" s="3">
        <f t="shared" si="7"/>
        <v>0</v>
      </c>
      <c r="N27" s="3">
        <f t="shared" si="8"/>
        <v>0</v>
      </c>
      <c r="O27" s="3">
        <f t="shared" si="9"/>
        <v>0</v>
      </c>
      <c r="P27" s="3">
        <f t="shared" si="10"/>
        <v>0</v>
      </c>
      <c r="Q27" s="3"/>
    </row>
    <row r="28" spans="4:17" x14ac:dyDescent="0.35">
      <c r="D28" s="183" t="str">
        <f>'Bazis modell FES adatai'!C87</f>
        <v>Egyetem</v>
      </c>
      <c r="E28" s="3">
        <f>'Előrejelzési variáns'!C41</f>
        <v>88580</v>
      </c>
      <c r="F28" s="3">
        <f>'Előrejelzési variáns'!D41</f>
        <v>100912</v>
      </c>
      <c r="G28" s="3">
        <f>'Előrejelzési variáns'!E41</f>
        <v>196600</v>
      </c>
      <c r="H28" s="3">
        <f>'Előrejelzési variáns'!F41</f>
        <v>386092</v>
      </c>
      <c r="I28" s="3">
        <f t="shared" si="11"/>
        <v>88580</v>
      </c>
      <c r="J28" s="3">
        <f t="shared" si="11"/>
        <v>100912</v>
      </c>
      <c r="K28" s="3">
        <f t="shared" si="11"/>
        <v>196600</v>
      </c>
      <c r="L28" s="3">
        <f t="shared" si="11"/>
        <v>386092</v>
      </c>
      <c r="M28" s="3">
        <f t="shared" si="7"/>
        <v>0</v>
      </c>
      <c r="N28" s="3">
        <f t="shared" si="8"/>
        <v>0</v>
      </c>
      <c r="O28" s="3">
        <f t="shared" si="9"/>
        <v>0</v>
      </c>
      <c r="P28" s="3">
        <f t="shared" si="10"/>
        <v>0</v>
      </c>
      <c r="Q28" s="3"/>
    </row>
    <row r="29" spans="4:17" x14ac:dyDescent="0.35">
      <c r="D29" s="183" t="str">
        <f>'Bazis modell FES adatai'!C88</f>
        <v>Összesen</v>
      </c>
      <c r="E29" s="3">
        <f>'Előrejelzési variáns'!C42</f>
        <v>607388</v>
      </c>
      <c r="F29" s="3">
        <f>'Előrejelzési variáns'!D42</f>
        <v>1573707</v>
      </c>
      <c r="G29" s="3">
        <f>'Előrejelzési variáns'!E42</f>
        <v>1461462</v>
      </c>
      <c r="H29" s="3">
        <f>'Előrejelzési variáns'!F42</f>
        <v>3642557</v>
      </c>
      <c r="I29" s="3">
        <f t="shared" si="11"/>
        <v>607388</v>
      </c>
      <c r="J29" s="3">
        <f t="shared" si="11"/>
        <v>1573707</v>
      </c>
      <c r="K29" s="3">
        <f t="shared" si="11"/>
        <v>1461462</v>
      </c>
      <c r="L29" s="3">
        <f t="shared" si="11"/>
        <v>3642557</v>
      </c>
      <c r="M29" s="3">
        <f t="shared" si="7"/>
        <v>0</v>
      </c>
      <c r="N29" s="3">
        <f t="shared" si="8"/>
        <v>0</v>
      </c>
      <c r="O29" s="3">
        <f t="shared" si="9"/>
        <v>0</v>
      </c>
      <c r="P29" s="3">
        <f t="shared" si="10"/>
        <v>0</v>
      </c>
      <c r="Q29" s="3"/>
    </row>
    <row r="30" spans="4:17" x14ac:dyDescent="0.35"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</row>
    <row r="31" spans="4:17" x14ac:dyDescent="0.35">
      <c r="D31" s="183" t="s">
        <v>1162</v>
      </c>
      <c r="E31" s="3">
        <f t="shared" ref="E31:P31" si="12">E27+E28</f>
        <v>186640</v>
      </c>
      <c r="F31" s="3">
        <f t="shared" si="12"/>
        <v>257350</v>
      </c>
      <c r="G31" s="3">
        <f t="shared" si="12"/>
        <v>509823</v>
      </c>
      <c r="H31" s="3">
        <f t="shared" si="12"/>
        <v>953813</v>
      </c>
      <c r="I31" s="3">
        <f t="shared" si="12"/>
        <v>186640</v>
      </c>
      <c r="J31" s="3">
        <f t="shared" si="12"/>
        <v>257350</v>
      </c>
      <c r="K31" s="3">
        <f t="shared" si="12"/>
        <v>509823</v>
      </c>
      <c r="L31" s="3">
        <f t="shared" si="12"/>
        <v>953813</v>
      </c>
      <c r="M31" s="3">
        <f t="shared" si="12"/>
        <v>0</v>
      </c>
      <c r="N31" s="3">
        <f t="shared" si="12"/>
        <v>0</v>
      </c>
      <c r="O31" s="3">
        <f t="shared" si="12"/>
        <v>0</v>
      </c>
      <c r="P31" s="3">
        <f t="shared" si="12"/>
        <v>0</v>
      </c>
      <c r="Q31" s="3"/>
    </row>
    <row r="32" spans="4:17" x14ac:dyDescent="0.35">
      <c r="D32" s="183" t="s">
        <v>1163</v>
      </c>
      <c r="E32" s="3">
        <f t="shared" ref="E32:P32" si="13">E24+E25+E26</f>
        <v>341744</v>
      </c>
      <c r="F32" s="3">
        <f t="shared" si="13"/>
        <v>1114008</v>
      </c>
      <c r="G32" s="3">
        <f t="shared" si="13"/>
        <v>842241</v>
      </c>
      <c r="H32" s="3">
        <f t="shared" si="13"/>
        <v>2297993</v>
      </c>
      <c r="I32" s="3">
        <f t="shared" si="13"/>
        <v>341744</v>
      </c>
      <c r="J32" s="3">
        <f t="shared" si="13"/>
        <v>1114008</v>
      </c>
      <c r="K32" s="3">
        <f t="shared" si="13"/>
        <v>842241</v>
      </c>
      <c r="L32" s="3">
        <f t="shared" si="13"/>
        <v>2297993</v>
      </c>
      <c r="M32" s="3">
        <f t="shared" si="13"/>
        <v>0</v>
      </c>
      <c r="N32" s="3">
        <f t="shared" si="13"/>
        <v>0</v>
      </c>
      <c r="O32" s="3">
        <f t="shared" si="13"/>
        <v>0</v>
      </c>
      <c r="P32" s="3">
        <f t="shared" si="13"/>
        <v>0</v>
      </c>
      <c r="Q32" s="3"/>
    </row>
    <row r="33" spans="3:17" x14ac:dyDescent="0.35">
      <c r="D33" s="183" t="s">
        <v>1164</v>
      </c>
      <c r="E33" s="3">
        <f t="shared" ref="E33:P33" si="14">E22+E23</f>
        <v>79004</v>
      </c>
      <c r="F33" s="3">
        <f t="shared" si="14"/>
        <v>202349</v>
      </c>
      <c r="G33" s="3">
        <f t="shared" si="14"/>
        <v>109398</v>
      </c>
      <c r="H33" s="3">
        <f t="shared" si="14"/>
        <v>390751</v>
      </c>
      <c r="I33" s="3">
        <f t="shared" si="14"/>
        <v>79004</v>
      </c>
      <c r="J33" s="3">
        <f t="shared" si="14"/>
        <v>202349</v>
      </c>
      <c r="K33" s="3">
        <f t="shared" si="14"/>
        <v>109398</v>
      </c>
      <c r="L33" s="3">
        <f t="shared" si="14"/>
        <v>390751</v>
      </c>
      <c r="M33" s="3">
        <f t="shared" si="14"/>
        <v>0</v>
      </c>
      <c r="N33" s="3">
        <f t="shared" si="14"/>
        <v>0</v>
      </c>
      <c r="O33" s="3">
        <f t="shared" si="14"/>
        <v>0</v>
      </c>
      <c r="P33" s="3">
        <f t="shared" si="14"/>
        <v>0</v>
      </c>
      <c r="Q33" s="3"/>
    </row>
    <row r="35" spans="3:17" x14ac:dyDescent="0.35">
      <c r="C35" s="183">
        <v>2015</v>
      </c>
      <c r="D35" s="183" t="str">
        <f t="shared" ref="D35:D45" si="15">D10</f>
        <v>Fegyveresek</v>
      </c>
      <c r="E35" s="3">
        <f>'Előrejelzési variáns'!L23</f>
        <v>23</v>
      </c>
      <c r="F35" s="3">
        <f>'Előrejelzési variáns'!M23</f>
        <v>0</v>
      </c>
      <c r="G35" s="3">
        <f>'Előrejelzési variáns'!N23</f>
        <v>11193</v>
      </c>
      <c r="H35" s="3">
        <f>'Előrejelzési variáns'!O23</f>
        <v>11216</v>
      </c>
      <c r="I35" s="3">
        <f t="shared" ref="I35:I54" si="16">E35</f>
        <v>23</v>
      </c>
      <c r="J35" s="3">
        <f t="shared" ref="J35:J54" si="17">F35</f>
        <v>0</v>
      </c>
      <c r="K35" s="3">
        <f t="shared" ref="K35:K54" si="18">G35</f>
        <v>11193</v>
      </c>
      <c r="L35" s="3">
        <f t="shared" ref="L35:L54" si="19">H35</f>
        <v>11216</v>
      </c>
      <c r="M35" s="3">
        <f t="shared" ref="M35:M54" si="20">E35-I35</f>
        <v>0</v>
      </c>
      <c r="N35" s="3">
        <f t="shared" ref="N35:N54" si="21">F35-J35</f>
        <v>0</v>
      </c>
      <c r="O35" s="3">
        <f t="shared" ref="O35:O54" si="22">G35-K35</f>
        <v>0</v>
      </c>
      <c r="P35" s="3">
        <f t="shared" ref="P35:P54" si="23">H35-L35</f>
        <v>0</v>
      </c>
      <c r="Q35" s="3"/>
    </row>
    <row r="36" spans="3:17" x14ac:dyDescent="0.35">
      <c r="D36" s="183" t="str">
        <f t="shared" si="15"/>
        <v>Vezetők</v>
      </c>
      <c r="E36" s="3">
        <f>'Előrejelzési variáns'!L24</f>
        <v>32987</v>
      </c>
      <c r="F36" s="3">
        <f>'Előrejelzési variáns'!M24</f>
        <v>76216</v>
      </c>
      <c r="G36" s="3">
        <f>'Előrejelzési variáns'!N24</f>
        <v>87669</v>
      </c>
      <c r="H36" s="3">
        <f>'Előrejelzési variáns'!O24</f>
        <v>196872</v>
      </c>
      <c r="I36" s="3">
        <f t="shared" si="16"/>
        <v>32987</v>
      </c>
      <c r="J36" s="3">
        <f t="shared" si="17"/>
        <v>76216</v>
      </c>
      <c r="K36" s="3">
        <f t="shared" si="18"/>
        <v>87669</v>
      </c>
      <c r="L36" s="3">
        <f t="shared" si="19"/>
        <v>196872</v>
      </c>
      <c r="M36" s="3">
        <f t="shared" si="20"/>
        <v>0</v>
      </c>
      <c r="N36" s="3">
        <f t="shared" si="21"/>
        <v>0</v>
      </c>
      <c r="O36" s="3">
        <f t="shared" si="22"/>
        <v>0</v>
      </c>
      <c r="P36" s="3">
        <f t="shared" si="23"/>
        <v>0</v>
      </c>
      <c r="Q36" s="3"/>
    </row>
    <row r="37" spans="3:17" x14ac:dyDescent="0.35">
      <c r="D37" s="183" t="str">
        <f t="shared" si="15"/>
        <v>Felsőfokúak</v>
      </c>
      <c r="E37" s="3">
        <f>'Előrejelzési variáns'!L25</f>
        <v>110903</v>
      </c>
      <c r="F37" s="3">
        <f>'Előrejelzési variáns'!M25</f>
        <v>171774</v>
      </c>
      <c r="G37" s="3">
        <f>'Előrejelzési variáns'!N25</f>
        <v>378407</v>
      </c>
      <c r="H37" s="3">
        <f>'Előrejelzési variáns'!O25</f>
        <v>661084</v>
      </c>
      <c r="I37" s="3">
        <f t="shared" si="16"/>
        <v>110903</v>
      </c>
      <c r="J37" s="3">
        <f t="shared" si="17"/>
        <v>171774</v>
      </c>
      <c r="K37" s="3">
        <f t="shared" si="18"/>
        <v>378407</v>
      </c>
      <c r="L37" s="3">
        <f t="shared" si="19"/>
        <v>661084</v>
      </c>
      <c r="M37" s="3">
        <f t="shared" si="20"/>
        <v>0</v>
      </c>
      <c r="N37" s="3">
        <f t="shared" si="21"/>
        <v>0</v>
      </c>
      <c r="O37" s="3">
        <f t="shared" si="22"/>
        <v>0</v>
      </c>
      <c r="P37" s="3">
        <f t="shared" si="23"/>
        <v>0</v>
      </c>
      <c r="Q37" s="3"/>
    </row>
    <row r="38" spans="3:17" x14ac:dyDescent="0.35">
      <c r="D38" s="183" t="str">
        <f t="shared" si="15"/>
        <v>Egyéb felső</v>
      </c>
      <c r="E38" s="3">
        <f>'Előrejelzési variáns'!L26</f>
        <v>126244</v>
      </c>
      <c r="F38" s="3">
        <f>'Előrejelzési variáns'!M26</f>
        <v>219742</v>
      </c>
      <c r="G38" s="3">
        <f>'Előrejelzési variáns'!N26</f>
        <v>312727</v>
      </c>
      <c r="H38" s="3">
        <f>'Előrejelzési variáns'!O26</f>
        <v>658713</v>
      </c>
      <c r="I38" s="3">
        <f t="shared" si="16"/>
        <v>126244</v>
      </c>
      <c r="J38" s="3">
        <f t="shared" si="17"/>
        <v>219742</v>
      </c>
      <c r="K38" s="3">
        <f t="shared" si="18"/>
        <v>312727</v>
      </c>
      <c r="L38" s="3">
        <f t="shared" si="19"/>
        <v>658713</v>
      </c>
      <c r="M38" s="3">
        <f t="shared" si="20"/>
        <v>0</v>
      </c>
      <c r="N38" s="3">
        <f t="shared" si="21"/>
        <v>0</v>
      </c>
      <c r="O38" s="3">
        <f t="shared" si="22"/>
        <v>0</v>
      </c>
      <c r="P38" s="3">
        <f t="shared" si="23"/>
        <v>0</v>
      </c>
      <c r="Q38" s="3"/>
    </row>
    <row r="39" spans="3:17" x14ac:dyDescent="0.35">
      <c r="D39" s="183" t="str">
        <f t="shared" si="15"/>
        <v>Iroda-ügyvitel</v>
      </c>
      <c r="E39" s="3">
        <f>'Előrejelzési variáns'!L27</f>
        <v>95539</v>
      </c>
      <c r="F39" s="3">
        <f>'Előrejelzési variáns'!M27</f>
        <v>100905</v>
      </c>
      <c r="G39" s="3">
        <f>'Előrejelzési variáns'!N27</f>
        <v>85652</v>
      </c>
      <c r="H39" s="3">
        <f>'Előrejelzési variáns'!O27</f>
        <v>282096</v>
      </c>
      <c r="I39" s="3">
        <f t="shared" si="16"/>
        <v>95539</v>
      </c>
      <c r="J39" s="3">
        <f t="shared" si="17"/>
        <v>100905</v>
      </c>
      <c r="K39" s="3">
        <f t="shared" si="18"/>
        <v>85652</v>
      </c>
      <c r="L39" s="3">
        <f t="shared" si="19"/>
        <v>282096</v>
      </c>
      <c r="M39" s="3">
        <f t="shared" si="20"/>
        <v>0</v>
      </c>
      <c r="N39" s="3">
        <f t="shared" si="21"/>
        <v>0</v>
      </c>
      <c r="O39" s="3">
        <f t="shared" si="22"/>
        <v>0</v>
      </c>
      <c r="P39" s="3">
        <f t="shared" si="23"/>
        <v>0</v>
      </c>
      <c r="Q39" s="3"/>
    </row>
    <row r="40" spans="3:17" x14ac:dyDescent="0.35">
      <c r="D40" s="183" t="str">
        <f t="shared" si="15"/>
        <v>Ker-szolg</v>
      </c>
      <c r="E40" s="3">
        <f>'Előrejelzési variáns'!L28</f>
        <v>47934</v>
      </c>
      <c r="F40" s="3">
        <f>'Előrejelzési variáns'!M28</f>
        <v>62502</v>
      </c>
      <c r="G40" s="3">
        <f>'Előrejelzési variáns'!N28</f>
        <v>491371</v>
      </c>
      <c r="H40" s="3">
        <f>'Előrejelzési variáns'!O28</f>
        <v>601807</v>
      </c>
      <c r="I40" s="3">
        <f t="shared" si="16"/>
        <v>47934</v>
      </c>
      <c r="J40" s="3">
        <f t="shared" si="17"/>
        <v>62502</v>
      </c>
      <c r="K40" s="3">
        <f t="shared" si="18"/>
        <v>491371</v>
      </c>
      <c r="L40" s="3">
        <f t="shared" si="19"/>
        <v>601807</v>
      </c>
      <c r="M40" s="3">
        <f t="shared" si="20"/>
        <v>0</v>
      </c>
      <c r="N40" s="3">
        <f t="shared" si="21"/>
        <v>0</v>
      </c>
      <c r="O40" s="3">
        <f t="shared" si="22"/>
        <v>0</v>
      </c>
      <c r="P40" s="3">
        <f t="shared" si="23"/>
        <v>0</v>
      </c>
      <c r="Q40" s="3"/>
    </row>
    <row r="41" spans="3:17" x14ac:dyDescent="0.35">
      <c r="D41" s="183" t="str">
        <f t="shared" si="15"/>
        <v>Mező-erdő</v>
      </c>
      <c r="E41" s="3">
        <f>'Előrejelzési variáns'!L29</f>
        <v>87019</v>
      </c>
      <c r="F41" s="3">
        <f>'Előrejelzési variáns'!M29</f>
        <v>10354</v>
      </c>
      <c r="G41" s="3">
        <f>'Előrejelzési variáns'!N29</f>
        <v>4011</v>
      </c>
      <c r="H41" s="3">
        <f>'Előrejelzési variáns'!O29</f>
        <v>101384</v>
      </c>
      <c r="I41" s="3">
        <f t="shared" si="16"/>
        <v>87019</v>
      </c>
      <c r="J41" s="3">
        <f t="shared" si="17"/>
        <v>10354</v>
      </c>
      <c r="K41" s="3">
        <f t="shared" si="18"/>
        <v>4011</v>
      </c>
      <c r="L41" s="3">
        <f t="shared" si="19"/>
        <v>101384</v>
      </c>
      <c r="M41" s="3">
        <f t="shared" si="20"/>
        <v>0</v>
      </c>
      <c r="N41" s="3">
        <f t="shared" si="21"/>
        <v>0</v>
      </c>
      <c r="O41" s="3">
        <f t="shared" si="22"/>
        <v>0</v>
      </c>
      <c r="P41" s="3">
        <f t="shared" si="23"/>
        <v>0</v>
      </c>
      <c r="Q41" s="3"/>
    </row>
    <row r="42" spans="3:17" x14ac:dyDescent="0.35">
      <c r="D42" s="183" t="str">
        <f t="shared" si="15"/>
        <v>ipar-épip.</v>
      </c>
      <c r="E42" s="3">
        <f>'Előrejelzési variáns'!L30</f>
        <v>48881</v>
      </c>
      <c r="F42" s="3">
        <f>'Előrejelzési variáns'!M30</f>
        <v>452862</v>
      </c>
      <c r="G42" s="3">
        <f>'Előrejelzési variáns'!N30</f>
        <v>48575</v>
      </c>
      <c r="H42" s="3">
        <f>'Előrejelzési variáns'!O30</f>
        <v>550318</v>
      </c>
      <c r="I42" s="3">
        <f t="shared" si="16"/>
        <v>48881</v>
      </c>
      <c r="J42" s="3">
        <f t="shared" si="17"/>
        <v>452862</v>
      </c>
      <c r="K42" s="3">
        <f t="shared" si="18"/>
        <v>48575</v>
      </c>
      <c r="L42" s="3">
        <f t="shared" si="19"/>
        <v>550318</v>
      </c>
      <c r="M42" s="3">
        <f t="shared" si="20"/>
        <v>0</v>
      </c>
      <c r="N42" s="3">
        <f t="shared" si="21"/>
        <v>0</v>
      </c>
      <c r="O42" s="3">
        <f t="shared" si="22"/>
        <v>0</v>
      </c>
      <c r="P42" s="3">
        <f t="shared" si="23"/>
        <v>0</v>
      </c>
      <c r="Q42" s="3"/>
    </row>
    <row r="43" spans="3:17" x14ac:dyDescent="0.35">
      <c r="D43" s="183" t="str">
        <f t="shared" si="15"/>
        <v>Összeszerelők</v>
      </c>
      <c r="E43" s="3">
        <f>'Előrejelzési variáns'!L31</f>
        <v>65176</v>
      </c>
      <c r="F43" s="3">
        <f>'Előrejelzési variáns'!M31</f>
        <v>442993</v>
      </c>
      <c r="G43" s="3">
        <f>'Előrejelzési variáns'!N31</f>
        <v>23909</v>
      </c>
      <c r="H43" s="3">
        <f>'Előrejelzési variáns'!O31</f>
        <v>532078</v>
      </c>
      <c r="I43" s="3">
        <f t="shared" si="16"/>
        <v>65176</v>
      </c>
      <c r="J43" s="3">
        <f t="shared" si="17"/>
        <v>442993</v>
      </c>
      <c r="K43" s="3">
        <f t="shared" si="18"/>
        <v>23909</v>
      </c>
      <c r="L43" s="3">
        <f t="shared" si="19"/>
        <v>532078</v>
      </c>
      <c r="M43" s="3">
        <f t="shared" si="20"/>
        <v>0</v>
      </c>
      <c r="N43" s="3">
        <f t="shared" si="21"/>
        <v>0</v>
      </c>
      <c r="O43" s="3">
        <f t="shared" si="22"/>
        <v>0</v>
      </c>
      <c r="P43" s="3">
        <f t="shared" si="23"/>
        <v>0</v>
      </c>
      <c r="Q43" s="3"/>
    </row>
    <row r="44" spans="3:17" x14ac:dyDescent="0.35">
      <c r="D44" s="183" t="str">
        <f t="shared" si="15"/>
        <v>szakképzetlen</v>
      </c>
      <c r="E44" s="3">
        <f>'Előrejelzési variáns'!L32</f>
        <v>70254</v>
      </c>
      <c r="F44" s="3">
        <f>'Előrejelzési variáns'!M32</f>
        <v>108348</v>
      </c>
      <c r="G44" s="3">
        <f>'Előrejelzési variáns'!N32</f>
        <v>113554</v>
      </c>
      <c r="H44" s="3">
        <f>'Előrejelzési variáns'!O32</f>
        <v>292156</v>
      </c>
      <c r="I44" s="3">
        <f t="shared" si="16"/>
        <v>70254</v>
      </c>
      <c r="J44" s="3">
        <f t="shared" si="17"/>
        <v>108348</v>
      </c>
      <c r="K44" s="3">
        <f t="shared" si="18"/>
        <v>113554</v>
      </c>
      <c r="L44" s="3">
        <f t="shared" si="19"/>
        <v>292156</v>
      </c>
      <c r="M44" s="3">
        <f t="shared" si="20"/>
        <v>0</v>
      </c>
      <c r="N44" s="3">
        <f t="shared" si="21"/>
        <v>0</v>
      </c>
      <c r="O44" s="3">
        <f t="shared" si="22"/>
        <v>0</v>
      </c>
      <c r="P44" s="3">
        <f t="shared" si="23"/>
        <v>0</v>
      </c>
      <c r="Q44" s="3"/>
    </row>
    <row r="45" spans="3:17" x14ac:dyDescent="0.35">
      <c r="D45" s="183" t="str">
        <f t="shared" si="15"/>
        <v>összesen</v>
      </c>
      <c r="E45" s="3">
        <f>'Előrejelzési variáns'!L33</f>
        <v>684960</v>
      </c>
      <c r="F45" s="3">
        <f>'Előrejelzési variáns'!M33</f>
        <v>1645696</v>
      </c>
      <c r="G45" s="3">
        <f>'Előrejelzési variáns'!N33</f>
        <v>1557068</v>
      </c>
      <c r="H45" s="3">
        <f>'Előrejelzési variáns'!O33</f>
        <v>3887724</v>
      </c>
      <c r="I45" s="3">
        <f t="shared" si="16"/>
        <v>684960</v>
      </c>
      <c r="J45" s="3">
        <f t="shared" si="17"/>
        <v>1645696</v>
      </c>
      <c r="K45" s="3">
        <f t="shared" si="18"/>
        <v>1557068</v>
      </c>
      <c r="L45" s="3">
        <f t="shared" si="19"/>
        <v>3887724</v>
      </c>
      <c r="M45" s="3">
        <f t="shared" si="20"/>
        <v>0</v>
      </c>
      <c r="N45" s="3">
        <f t="shared" si="21"/>
        <v>0</v>
      </c>
      <c r="O45" s="3">
        <f t="shared" si="22"/>
        <v>0</v>
      </c>
      <c r="P45" s="3">
        <f t="shared" si="23"/>
        <v>0</v>
      </c>
      <c r="Q45" s="3"/>
    </row>
    <row r="46" spans="3:17" x14ac:dyDescent="0.35">
      <c r="E46" s="3"/>
      <c r="F46" s="3"/>
      <c r="G46" s="3"/>
      <c r="H46" s="3"/>
      <c r="I46" s="3">
        <f t="shared" si="16"/>
        <v>0</v>
      </c>
      <c r="J46" s="3">
        <f t="shared" si="17"/>
        <v>0</v>
      </c>
      <c r="K46" s="3">
        <f t="shared" si="18"/>
        <v>0</v>
      </c>
      <c r="L46" s="3">
        <f t="shared" si="19"/>
        <v>0</v>
      </c>
      <c r="M46" s="3">
        <f t="shared" si="20"/>
        <v>0</v>
      </c>
      <c r="N46" s="3">
        <f t="shared" si="21"/>
        <v>0</v>
      </c>
      <c r="O46" s="3">
        <f t="shared" si="22"/>
        <v>0</v>
      </c>
      <c r="P46" s="3">
        <f t="shared" si="23"/>
        <v>0</v>
      </c>
      <c r="Q46" s="3"/>
    </row>
    <row r="47" spans="3:17" x14ac:dyDescent="0.35">
      <c r="D47" s="183" t="str">
        <f t="shared" ref="D47:D54" si="24">D22</f>
        <v>0-7 osztály</v>
      </c>
      <c r="E47" s="3">
        <f>'Előrejelzési variáns'!L35</f>
        <v>3304</v>
      </c>
      <c r="F47" s="3">
        <f>'Előrejelzési variáns'!M35</f>
        <v>3104</v>
      </c>
      <c r="G47" s="3">
        <f>'Előrejelzési variáns'!N35</f>
        <v>1473</v>
      </c>
      <c r="H47" s="3">
        <f>'Előrejelzési variáns'!O35</f>
        <v>7881</v>
      </c>
      <c r="I47" s="3">
        <f t="shared" si="16"/>
        <v>3304</v>
      </c>
      <c r="J47" s="3">
        <f t="shared" si="17"/>
        <v>3104</v>
      </c>
      <c r="K47" s="3">
        <f t="shared" si="18"/>
        <v>1473</v>
      </c>
      <c r="L47" s="3">
        <f t="shared" si="19"/>
        <v>7881</v>
      </c>
      <c r="M47" s="3">
        <f t="shared" si="20"/>
        <v>0</v>
      </c>
      <c r="N47" s="3">
        <f t="shared" si="21"/>
        <v>0</v>
      </c>
      <c r="O47" s="3">
        <f t="shared" si="22"/>
        <v>0</v>
      </c>
      <c r="P47" s="3">
        <f t="shared" si="23"/>
        <v>0</v>
      </c>
      <c r="Q47" s="3"/>
    </row>
    <row r="48" spans="3:17" x14ac:dyDescent="0.35">
      <c r="D48" s="183" t="str">
        <f t="shared" si="24"/>
        <v>8 osztály</v>
      </c>
      <c r="E48" s="3">
        <f>'Előrejelzési variáns'!L36</f>
        <v>80963</v>
      </c>
      <c r="F48" s="3">
        <f>'Előrejelzési variáns'!M36</f>
        <v>193030</v>
      </c>
      <c r="G48" s="3">
        <f>'Előrejelzési variáns'!N36</f>
        <v>92082</v>
      </c>
      <c r="H48" s="3">
        <f>'Előrejelzési variáns'!O36</f>
        <v>366075</v>
      </c>
      <c r="I48" s="3">
        <f t="shared" si="16"/>
        <v>80963</v>
      </c>
      <c r="J48" s="3">
        <f t="shared" si="17"/>
        <v>193030</v>
      </c>
      <c r="K48" s="3">
        <f t="shared" si="18"/>
        <v>92082</v>
      </c>
      <c r="L48" s="3">
        <f t="shared" si="19"/>
        <v>366075</v>
      </c>
      <c r="M48" s="3">
        <f t="shared" si="20"/>
        <v>0</v>
      </c>
      <c r="N48" s="3">
        <f t="shared" si="21"/>
        <v>0</v>
      </c>
      <c r="O48" s="3">
        <f t="shared" si="22"/>
        <v>0</v>
      </c>
      <c r="P48" s="3">
        <f t="shared" si="23"/>
        <v>0</v>
      </c>
      <c r="Q48" s="3"/>
    </row>
    <row r="49" spans="3:17" x14ac:dyDescent="0.35">
      <c r="D49" s="183" t="str">
        <f t="shared" si="24"/>
        <v>szakiskola</v>
      </c>
      <c r="E49" s="3">
        <f>'Előrejelzési variáns'!L37</f>
        <v>158732</v>
      </c>
      <c r="F49" s="3">
        <f>'Előrejelzési variáns'!M37</f>
        <v>583903</v>
      </c>
      <c r="G49" s="3">
        <f>'Előrejelzési variáns'!N37</f>
        <v>297608</v>
      </c>
      <c r="H49" s="3">
        <f>'Előrejelzési variáns'!O37</f>
        <v>1040243</v>
      </c>
      <c r="I49" s="3">
        <f t="shared" si="16"/>
        <v>158732</v>
      </c>
      <c r="J49" s="3">
        <f t="shared" si="17"/>
        <v>583903</v>
      </c>
      <c r="K49" s="3">
        <f t="shared" si="18"/>
        <v>297608</v>
      </c>
      <c r="L49" s="3">
        <f t="shared" si="19"/>
        <v>1040243</v>
      </c>
      <c r="M49" s="3">
        <f t="shared" si="20"/>
        <v>0</v>
      </c>
      <c r="N49" s="3">
        <f t="shared" si="21"/>
        <v>0</v>
      </c>
      <c r="O49" s="3">
        <f t="shared" si="22"/>
        <v>0</v>
      </c>
      <c r="P49" s="3">
        <f t="shared" si="23"/>
        <v>0</v>
      </c>
      <c r="Q49" s="3"/>
    </row>
    <row r="50" spans="3:17" x14ac:dyDescent="0.35">
      <c r="D50" s="183" t="str">
        <f t="shared" si="24"/>
        <v>Gimnázium</v>
      </c>
      <c r="E50" s="3">
        <f>'Előrejelzési variáns'!L38</f>
        <v>79103</v>
      </c>
      <c r="F50" s="3">
        <f>'Előrejelzési variáns'!M38</f>
        <v>160920</v>
      </c>
      <c r="G50" s="3">
        <f>'Előrejelzési variáns'!N38</f>
        <v>205952</v>
      </c>
      <c r="H50" s="3">
        <f>'Előrejelzési variáns'!O38</f>
        <v>445975</v>
      </c>
      <c r="I50" s="3">
        <f t="shared" si="16"/>
        <v>79103</v>
      </c>
      <c r="J50" s="3">
        <f t="shared" si="17"/>
        <v>160920</v>
      </c>
      <c r="K50" s="3">
        <f t="shared" si="18"/>
        <v>205952</v>
      </c>
      <c r="L50" s="3">
        <f t="shared" si="19"/>
        <v>445975</v>
      </c>
      <c r="M50" s="3">
        <f t="shared" si="20"/>
        <v>0</v>
      </c>
      <c r="N50" s="3">
        <f t="shared" si="21"/>
        <v>0</v>
      </c>
      <c r="O50" s="3">
        <f t="shared" si="22"/>
        <v>0</v>
      </c>
      <c r="P50" s="3">
        <f t="shared" si="23"/>
        <v>0</v>
      </c>
      <c r="Q50" s="3"/>
    </row>
    <row r="51" spans="3:17" x14ac:dyDescent="0.35">
      <c r="D51" s="183" t="str">
        <f t="shared" si="24"/>
        <v>Technikum</v>
      </c>
      <c r="E51" s="3">
        <f>'Előrejelzési variáns'!L39</f>
        <v>142322</v>
      </c>
      <c r="F51" s="3">
        <f>'Előrejelzési variáns'!M39</f>
        <v>393523</v>
      </c>
      <c r="G51" s="3">
        <f>'Előrejelzési variáns'!N39</f>
        <v>377744</v>
      </c>
      <c r="H51" s="3">
        <f>'Előrejelzési variáns'!O39</f>
        <v>913589</v>
      </c>
      <c r="I51" s="3">
        <f t="shared" si="16"/>
        <v>142322</v>
      </c>
      <c r="J51" s="3">
        <f t="shared" si="17"/>
        <v>393523</v>
      </c>
      <c r="K51" s="3">
        <f t="shared" si="18"/>
        <v>377744</v>
      </c>
      <c r="L51" s="3">
        <f t="shared" si="19"/>
        <v>913589</v>
      </c>
      <c r="M51" s="3">
        <f t="shared" si="20"/>
        <v>0</v>
      </c>
      <c r="N51" s="3">
        <f t="shared" si="21"/>
        <v>0</v>
      </c>
      <c r="O51" s="3">
        <f t="shared" si="22"/>
        <v>0</v>
      </c>
      <c r="P51" s="3">
        <f t="shared" si="23"/>
        <v>0</v>
      </c>
      <c r="Q51" s="3"/>
    </row>
    <row r="52" spans="3:17" x14ac:dyDescent="0.35">
      <c r="D52" s="183" t="str">
        <f t="shared" si="24"/>
        <v>Főiskola</v>
      </c>
      <c r="E52" s="3">
        <f>'Előrejelzési variáns'!L40</f>
        <v>120001</v>
      </c>
      <c r="F52" s="3">
        <f>'Előrejelzési variáns'!M40</f>
        <v>171703</v>
      </c>
      <c r="G52" s="3">
        <f>'Előrejelzési variáns'!N40</f>
        <v>357753</v>
      </c>
      <c r="H52" s="3">
        <f>'Előrejelzési variáns'!O40</f>
        <v>649457</v>
      </c>
      <c r="I52" s="3">
        <f t="shared" si="16"/>
        <v>120001</v>
      </c>
      <c r="J52" s="3">
        <f t="shared" si="17"/>
        <v>171703</v>
      </c>
      <c r="K52" s="3">
        <f t="shared" si="18"/>
        <v>357753</v>
      </c>
      <c r="L52" s="3">
        <f t="shared" si="19"/>
        <v>649457</v>
      </c>
      <c r="M52" s="3">
        <f t="shared" si="20"/>
        <v>0</v>
      </c>
      <c r="N52" s="3">
        <f t="shared" si="21"/>
        <v>0</v>
      </c>
      <c r="O52" s="3">
        <f t="shared" si="22"/>
        <v>0</v>
      </c>
      <c r="P52" s="3">
        <f t="shared" si="23"/>
        <v>0</v>
      </c>
      <c r="Q52" s="3"/>
    </row>
    <row r="53" spans="3:17" x14ac:dyDescent="0.35">
      <c r="D53" s="183" t="str">
        <f t="shared" si="24"/>
        <v>Egyetem</v>
      </c>
      <c r="E53" s="3">
        <f>'Előrejelzési variáns'!L41</f>
        <v>100535</v>
      </c>
      <c r="F53" s="3">
        <f>'Előrejelzési variáns'!M41</f>
        <v>139513</v>
      </c>
      <c r="G53" s="3">
        <f>'Előrejelzési variáns'!N41</f>
        <v>224456</v>
      </c>
      <c r="H53" s="3">
        <f>'Előrejelzési variáns'!O41</f>
        <v>464504</v>
      </c>
      <c r="I53" s="3">
        <f t="shared" si="16"/>
        <v>100535</v>
      </c>
      <c r="J53" s="3">
        <f t="shared" si="17"/>
        <v>139513</v>
      </c>
      <c r="K53" s="3">
        <f t="shared" si="18"/>
        <v>224456</v>
      </c>
      <c r="L53" s="3">
        <f t="shared" si="19"/>
        <v>464504</v>
      </c>
      <c r="M53" s="3">
        <f t="shared" si="20"/>
        <v>0</v>
      </c>
      <c r="N53" s="3">
        <f t="shared" si="21"/>
        <v>0</v>
      </c>
      <c r="O53" s="3">
        <f t="shared" si="22"/>
        <v>0</v>
      </c>
      <c r="P53" s="3">
        <f t="shared" si="23"/>
        <v>0</v>
      </c>
      <c r="Q53" s="3"/>
    </row>
    <row r="54" spans="3:17" x14ac:dyDescent="0.35">
      <c r="D54" s="183" t="str">
        <f t="shared" si="24"/>
        <v>Összesen</v>
      </c>
      <c r="E54" s="3">
        <f>'Előrejelzési variáns'!L42</f>
        <v>684960</v>
      </c>
      <c r="F54" s="3">
        <f>'Előrejelzési variáns'!M42</f>
        <v>1645696</v>
      </c>
      <c r="G54" s="3">
        <f>'Előrejelzési variáns'!N42</f>
        <v>1557068</v>
      </c>
      <c r="H54" s="3">
        <f>'Előrejelzési variáns'!O42</f>
        <v>3887724</v>
      </c>
      <c r="I54" s="3">
        <f t="shared" si="16"/>
        <v>684960</v>
      </c>
      <c r="J54" s="3">
        <f t="shared" si="17"/>
        <v>1645696</v>
      </c>
      <c r="K54" s="3">
        <f t="shared" si="18"/>
        <v>1557068</v>
      </c>
      <c r="L54" s="3">
        <f t="shared" si="19"/>
        <v>3887724</v>
      </c>
      <c r="M54" s="3">
        <f t="shared" si="20"/>
        <v>0</v>
      </c>
      <c r="N54" s="3">
        <f t="shared" si="21"/>
        <v>0</v>
      </c>
      <c r="O54" s="3">
        <f t="shared" si="22"/>
        <v>0</v>
      </c>
      <c r="P54" s="3">
        <f t="shared" si="23"/>
        <v>0</v>
      </c>
      <c r="Q54" s="3"/>
    </row>
    <row r="55" spans="3:17" x14ac:dyDescent="0.35"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</row>
    <row r="56" spans="3:17" x14ac:dyDescent="0.35">
      <c r="D56" s="183" t="s">
        <v>1162</v>
      </c>
      <c r="E56" s="3">
        <f t="shared" ref="E56:P56" si="25">E52+E53</f>
        <v>220536</v>
      </c>
      <c r="F56" s="3">
        <f t="shared" si="25"/>
        <v>311216</v>
      </c>
      <c r="G56" s="3">
        <f t="shared" si="25"/>
        <v>582209</v>
      </c>
      <c r="H56" s="3">
        <f t="shared" si="25"/>
        <v>1113961</v>
      </c>
      <c r="I56" s="3">
        <f t="shared" si="25"/>
        <v>220536</v>
      </c>
      <c r="J56" s="3">
        <f t="shared" si="25"/>
        <v>311216</v>
      </c>
      <c r="K56" s="3">
        <f t="shared" si="25"/>
        <v>582209</v>
      </c>
      <c r="L56" s="3">
        <f t="shared" si="25"/>
        <v>1113961</v>
      </c>
      <c r="M56" s="3">
        <f t="shared" si="25"/>
        <v>0</v>
      </c>
      <c r="N56" s="3">
        <f t="shared" si="25"/>
        <v>0</v>
      </c>
      <c r="O56" s="3">
        <f t="shared" si="25"/>
        <v>0</v>
      </c>
      <c r="P56" s="3">
        <f t="shared" si="25"/>
        <v>0</v>
      </c>
      <c r="Q56" s="3"/>
    </row>
    <row r="57" spans="3:17" x14ac:dyDescent="0.35">
      <c r="D57" s="183" t="s">
        <v>1163</v>
      </c>
      <c r="E57" s="3">
        <f t="shared" ref="E57:P57" si="26">E49+E50+E51</f>
        <v>380157</v>
      </c>
      <c r="F57" s="3">
        <f t="shared" si="26"/>
        <v>1138346</v>
      </c>
      <c r="G57" s="3">
        <f t="shared" si="26"/>
        <v>881304</v>
      </c>
      <c r="H57" s="3">
        <f t="shared" si="26"/>
        <v>2399807</v>
      </c>
      <c r="I57" s="3">
        <f t="shared" si="26"/>
        <v>380157</v>
      </c>
      <c r="J57" s="3">
        <f t="shared" si="26"/>
        <v>1138346</v>
      </c>
      <c r="K57" s="3">
        <f t="shared" si="26"/>
        <v>881304</v>
      </c>
      <c r="L57" s="3">
        <f t="shared" si="26"/>
        <v>2399807</v>
      </c>
      <c r="M57" s="3">
        <f t="shared" si="26"/>
        <v>0</v>
      </c>
      <c r="N57" s="3">
        <f t="shared" si="26"/>
        <v>0</v>
      </c>
      <c r="O57" s="3">
        <f t="shared" si="26"/>
        <v>0</v>
      </c>
      <c r="P57" s="3">
        <f t="shared" si="26"/>
        <v>0</v>
      </c>
      <c r="Q57" s="3"/>
    </row>
    <row r="58" spans="3:17" x14ac:dyDescent="0.35">
      <c r="D58" s="183" t="s">
        <v>1164</v>
      </c>
      <c r="E58" s="3">
        <f t="shared" ref="E58:P58" si="27">E47+E48</f>
        <v>84267</v>
      </c>
      <c r="F58" s="3">
        <f t="shared" si="27"/>
        <v>196134</v>
      </c>
      <c r="G58" s="3">
        <f t="shared" si="27"/>
        <v>93555</v>
      </c>
      <c r="H58" s="3">
        <f t="shared" si="27"/>
        <v>373956</v>
      </c>
      <c r="I58" s="3">
        <f t="shared" si="27"/>
        <v>84267</v>
      </c>
      <c r="J58" s="3">
        <f t="shared" si="27"/>
        <v>196134</v>
      </c>
      <c r="K58" s="3">
        <f t="shared" si="27"/>
        <v>93555</v>
      </c>
      <c r="L58" s="3">
        <f t="shared" si="27"/>
        <v>373956</v>
      </c>
      <c r="M58" s="3">
        <f t="shared" si="27"/>
        <v>0</v>
      </c>
      <c r="N58" s="3">
        <f t="shared" si="27"/>
        <v>0</v>
      </c>
      <c r="O58" s="3">
        <f t="shared" si="27"/>
        <v>0</v>
      </c>
      <c r="P58" s="3">
        <f t="shared" si="27"/>
        <v>0</v>
      </c>
      <c r="Q58" s="3"/>
    </row>
    <row r="60" spans="3:17" x14ac:dyDescent="0.35">
      <c r="C60" s="183">
        <v>2020</v>
      </c>
      <c r="D60" s="183" t="str">
        <f t="shared" ref="D60:D70" si="28">D35</f>
        <v>Fegyveresek</v>
      </c>
      <c r="E60" s="3">
        <f>'Előrejelzési variáns'!U23</f>
        <v>13.762361001857267</v>
      </c>
      <c r="F60" s="3">
        <f>'Előrejelzési variáns'!V23</f>
        <v>5.759781429855134</v>
      </c>
      <c r="G60" s="3">
        <f>'Előrejelzési variáns'!W23</f>
        <v>9838.2978883984433</v>
      </c>
      <c r="H60" s="3">
        <f>'Előrejelzési variáns'!X23</f>
        <v>9857.8200308301566</v>
      </c>
      <c r="I60" s="3">
        <f t="shared" ref="I60:I79" si="29">E60</f>
        <v>13.762361001857267</v>
      </c>
      <c r="J60" s="3">
        <f t="shared" ref="J60:J79" si="30">F60</f>
        <v>5.759781429855134</v>
      </c>
      <c r="K60" s="3">
        <f t="shared" ref="K60:K79" si="31">G60</f>
        <v>9838.2978883984433</v>
      </c>
      <c r="L60" s="3">
        <f t="shared" ref="L60:L79" si="32">H60</f>
        <v>9857.8200308301566</v>
      </c>
      <c r="M60" s="3">
        <f t="shared" ref="M60:M79" si="33">E60-I60</f>
        <v>0</v>
      </c>
      <c r="N60" s="3">
        <f t="shared" ref="N60:N79" si="34">F60-J60</f>
        <v>0</v>
      </c>
      <c r="O60" s="3">
        <f t="shared" ref="O60:O79" si="35">G60-K60</f>
        <v>0</v>
      </c>
      <c r="P60" s="3">
        <f t="shared" ref="P60:P79" si="36">H60-L60</f>
        <v>0</v>
      </c>
      <c r="Q60" s="3"/>
    </row>
    <row r="61" spans="3:17" x14ac:dyDescent="0.35">
      <c r="D61" s="183" t="str">
        <f t="shared" si="28"/>
        <v>Vezetők</v>
      </c>
      <c r="E61" s="3">
        <f>'Előrejelzési variáns'!U24</f>
        <v>31892.09635681233</v>
      </c>
      <c r="F61" s="3">
        <f>'Előrejelzési variáns'!V24</f>
        <v>78879.183018826108</v>
      </c>
      <c r="G61" s="3">
        <f>'Előrejelzési variáns'!W24</f>
        <v>83896.635099497638</v>
      </c>
      <c r="H61" s="3">
        <f>'Előrejelzési variáns'!X24</f>
        <v>194667.91447513609</v>
      </c>
      <c r="I61" s="3">
        <f t="shared" si="29"/>
        <v>31892.09635681233</v>
      </c>
      <c r="J61" s="3">
        <f t="shared" si="30"/>
        <v>78879.183018826108</v>
      </c>
      <c r="K61" s="3">
        <f t="shared" si="31"/>
        <v>83896.635099497638</v>
      </c>
      <c r="L61" s="3">
        <f t="shared" si="32"/>
        <v>194667.91447513609</v>
      </c>
      <c r="M61" s="3">
        <f t="shared" si="33"/>
        <v>0</v>
      </c>
      <c r="N61" s="3">
        <f t="shared" si="34"/>
        <v>0</v>
      </c>
      <c r="O61" s="3">
        <f t="shared" si="35"/>
        <v>0</v>
      </c>
      <c r="P61" s="3">
        <f t="shared" si="36"/>
        <v>0</v>
      </c>
      <c r="Q61" s="3"/>
    </row>
    <row r="62" spans="3:17" x14ac:dyDescent="0.35">
      <c r="D62" s="183" t="str">
        <f t="shared" si="28"/>
        <v>Felsőfokúak</v>
      </c>
      <c r="E62" s="3">
        <f>'Előrejelzési variáns'!U25</f>
        <v>105696.89741807801</v>
      </c>
      <c r="F62" s="3">
        <f>'Előrejelzési variáns'!V25</f>
        <v>211160.58551444864</v>
      </c>
      <c r="G62" s="3">
        <f>'Előrejelzési variáns'!W25</f>
        <v>384389.94515825371</v>
      </c>
      <c r="H62" s="3">
        <f>'Előrejelzési variáns'!X25</f>
        <v>701247.42809078027</v>
      </c>
      <c r="I62" s="3">
        <f t="shared" si="29"/>
        <v>105696.89741807801</v>
      </c>
      <c r="J62" s="3">
        <f t="shared" si="30"/>
        <v>211160.58551444864</v>
      </c>
      <c r="K62" s="3">
        <f t="shared" si="31"/>
        <v>384389.94515825371</v>
      </c>
      <c r="L62" s="3">
        <f t="shared" si="32"/>
        <v>701247.42809078027</v>
      </c>
      <c r="M62" s="3">
        <f t="shared" si="33"/>
        <v>0</v>
      </c>
      <c r="N62" s="3">
        <f t="shared" si="34"/>
        <v>0</v>
      </c>
      <c r="O62" s="3">
        <f t="shared" si="35"/>
        <v>0</v>
      </c>
      <c r="P62" s="3">
        <f t="shared" si="36"/>
        <v>0</v>
      </c>
      <c r="Q62" s="3"/>
    </row>
    <row r="63" spans="3:17" x14ac:dyDescent="0.35">
      <c r="D63" s="183" t="str">
        <f t="shared" si="28"/>
        <v>Egyéb felső</v>
      </c>
      <c r="E63" s="3">
        <f>'Előrejelzési variáns'!U26</f>
        <v>159374.9747175464</v>
      </c>
      <c r="F63" s="3">
        <f>'Előrejelzési variáns'!V26</f>
        <v>277831.10297218384</v>
      </c>
      <c r="G63" s="3">
        <f>'Előrejelzési variáns'!W26</f>
        <v>349354.8427515403</v>
      </c>
      <c r="H63" s="3">
        <f>'Előrejelzési variáns'!X26</f>
        <v>786560.92044127057</v>
      </c>
      <c r="I63" s="3">
        <f t="shared" si="29"/>
        <v>159374.9747175464</v>
      </c>
      <c r="J63" s="3">
        <f t="shared" si="30"/>
        <v>277831.10297218384</v>
      </c>
      <c r="K63" s="3">
        <f t="shared" si="31"/>
        <v>349354.8427515403</v>
      </c>
      <c r="L63" s="3">
        <f t="shared" si="32"/>
        <v>786560.92044127057</v>
      </c>
      <c r="M63" s="3">
        <f t="shared" si="33"/>
        <v>0</v>
      </c>
      <c r="N63" s="3">
        <f t="shared" si="34"/>
        <v>0</v>
      </c>
      <c r="O63" s="3">
        <f t="shared" si="35"/>
        <v>0</v>
      </c>
      <c r="P63" s="3">
        <f t="shared" si="36"/>
        <v>0</v>
      </c>
      <c r="Q63" s="3"/>
    </row>
    <row r="64" spans="3:17" x14ac:dyDescent="0.35">
      <c r="D64" s="183" t="str">
        <f t="shared" si="28"/>
        <v>Iroda-ügyvitel</v>
      </c>
      <c r="E64" s="3">
        <f>'Előrejelzési variáns'!U27</f>
        <v>105543.13266135129</v>
      </c>
      <c r="F64" s="3">
        <f>'Előrejelzési variáns'!V27</f>
        <v>114657.01954522534</v>
      </c>
      <c r="G64" s="3">
        <f>'Előrejelzési variáns'!W27</f>
        <v>94845.799463605566</v>
      </c>
      <c r="H64" s="3">
        <f>'Előrejelzési variáns'!X27</f>
        <v>315045.95167018217</v>
      </c>
      <c r="I64" s="3">
        <f t="shared" si="29"/>
        <v>105543.13266135129</v>
      </c>
      <c r="J64" s="3">
        <f t="shared" si="30"/>
        <v>114657.01954522534</v>
      </c>
      <c r="K64" s="3">
        <f t="shared" si="31"/>
        <v>94845.799463605566</v>
      </c>
      <c r="L64" s="3">
        <f t="shared" si="32"/>
        <v>315045.95167018217</v>
      </c>
      <c r="M64" s="3">
        <f t="shared" si="33"/>
        <v>0</v>
      </c>
      <c r="N64" s="3">
        <f t="shared" si="34"/>
        <v>0</v>
      </c>
      <c r="O64" s="3">
        <f t="shared" si="35"/>
        <v>0</v>
      </c>
      <c r="P64" s="3">
        <f t="shared" si="36"/>
        <v>0</v>
      </c>
      <c r="Q64" s="3"/>
    </row>
    <row r="65" spans="4:17" x14ac:dyDescent="0.35">
      <c r="D65" s="183" t="str">
        <f t="shared" si="28"/>
        <v>Ker-szolg</v>
      </c>
      <c r="E65" s="3">
        <f>'Előrejelzési variáns'!U28</f>
        <v>50765.082373874975</v>
      </c>
      <c r="F65" s="3">
        <f>'Előrejelzési variáns'!V28</f>
        <v>78394.21704674483</v>
      </c>
      <c r="G65" s="3">
        <f>'Előrejelzési variáns'!W28</f>
        <v>516946.50253117702</v>
      </c>
      <c r="H65" s="3">
        <f>'Előrejelzési variáns'!X28</f>
        <v>646105.80195179686</v>
      </c>
      <c r="I65" s="3">
        <f t="shared" si="29"/>
        <v>50765.082373874975</v>
      </c>
      <c r="J65" s="3">
        <f t="shared" si="30"/>
        <v>78394.21704674483</v>
      </c>
      <c r="K65" s="3">
        <f t="shared" si="31"/>
        <v>516946.50253117702</v>
      </c>
      <c r="L65" s="3">
        <f t="shared" si="32"/>
        <v>646105.80195179686</v>
      </c>
      <c r="M65" s="3">
        <f t="shared" si="33"/>
        <v>0</v>
      </c>
      <c r="N65" s="3">
        <f t="shared" si="34"/>
        <v>0</v>
      </c>
      <c r="O65" s="3">
        <f t="shared" si="35"/>
        <v>0</v>
      </c>
      <c r="P65" s="3">
        <f t="shared" si="36"/>
        <v>0</v>
      </c>
      <c r="Q65" s="3"/>
    </row>
    <row r="66" spans="4:17" x14ac:dyDescent="0.35">
      <c r="D66" s="183" t="str">
        <f t="shared" si="28"/>
        <v>Mező-erdő</v>
      </c>
      <c r="E66" s="3">
        <f>'Előrejelzési variáns'!U29</f>
        <v>113893.24674957919</v>
      </c>
      <c r="F66" s="3">
        <f>'Előrejelzési variáns'!V29</f>
        <v>12288.485930311301</v>
      </c>
      <c r="G66" s="3">
        <f>'Előrejelzési variáns'!W29</f>
        <v>3749.8686007979609</v>
      </c>
      <c r="H66" s="3">
        <f>'Előrejelzési variáns'!X29</f>
        <v>129931.60128068845</v>
      </c>
      <c r="I66" s="3">
        <f t="shared" si="29"/>
        <v>113893.24674957919</v>
      </c>
      <c r="J66" s="3">
        <f t="shared" si="30"/>
        <v>12288.485930311301</v>
      </c>
      <c r="K66" s="3">
        <f t="shared" si="31"/>
        <v>3749.8686007979609</v>
      </c>
      <c r="L66" s="3">
        <f t="shared" si="32"/>
        <v>129931.60128068845</v>
      </c>
      <c r="M66" s="3">
        <f t="shared" si="33"/>
        <v>0</v>
      </c>
      <c r="N66" s="3">
        <f t="shared" si="34"/>
        <v>0</v>
      </c>
      <c r="O66" s="3">
        <f t="shared" si="35"/>
        <v>0</v>
      </c>
      <c r="P66" s="3">
        <f t="shared" si="36"/>
        <v>0</v>
      </c>
      <c r="Q66" s="3"/>
    </row>
    <row r="67" spans="4:17" x14ac:dyDescent="0.35">
      <c r="D67" s="183" t="str">
        <f t="shared" si="28"/>
        <v>ipar-épip.</v>
      </c>
      <c r="E67" s="3">
        <f>'Előrejelzési variáns'!U30</f>
        <v>52686.367685721823</v>
      </c>
      <c r="F67" s="3">
        <f>'Előrejelzési variáns'!V30</f>
        <v>503933.70453906886</v>
      </c>
      <c r="G67" s="3">
        <f>'Előrejelzési variáns'!W30</f>
        <v>56287.299933933158</v>
      </c>
      <c r="H67" s="3">
        <f>'Előrejelzési variáns'!X30</f>
        <v>612907.37215872388</v>
      </c>
      <c r="I67" s="3">
        <f t="shared" si="29"/>
        <v>52686.367685721823</v>
      </c>
      <c r="J67" s="3">
        <f t="shared" si="30"/>
        <v>503933.70453906886</v>
      </c>
      <c r="K67" s="3">
        <f t="shared" si="31"/>
        <v>56287.299933933158</v>
      </c>
      <c r="L67" s="3">
        <f t="shared" si="32"/>
        <v>612907.37215872388</v>
      </c>
      <c r="M67" s="3">
        <f t="shared" si="33"/>
        <v>0</v>
      </c>
      <c r="N67" s="3">
        <f t="shared" si="34"/>
        <v>0</v>
      </c>
      <c r="O67" s="3">
        <f t="shared" si="35"/>
        <v>0</v>
      </c>
      <c r="P67" s="3">
        <f t="shared" si="36"/>
        <v>0</v>
      </c>
      <c r="Q67" s="3"/>
    </row>
    <row r="68" spans="4:17" x14ac:dyDescent="0.35">
      <c r="D68" s="183" t="str">
        <f t="shared" si="28"/>
        <v>Összeszerelők</v>
      </c>
      <c r="E68" s="3">
        <f>'Előrejelzési variáns'!U31</f>
        <v>76496.822205114862</v>
      </c>
      <c r="F68" s="3">
        <f>'Előrejelzési variáns'!V31</f>
        <v>585849.79813507758</v>
      </c>
      <c r="G68" s="3">
        <f>'Előrejelzési variáns'!W31</f>
        <v>25974.252211761392</v>
      </c>
      <c r="H68" s="3">
        <f>'Előrejelzési variáns'!X31</f>
        <v>688320.87255195389</v>
      </c>
      <c r="I68" s="3">
        <f t="shared" si="29"/>
        <v>76496.822205114862</v>
      </c>
      <c r="J68" s="3">
        <f t="shared" si="30"/>
        <v>585849.79813507758</v>
      </c>
      <c r="K68" s="3">
        <f t="shared" si="31"/>
        <v>25974.252211761392</v>
      </c>
      <c r="L68" s="3">
        <f t="shared" si="32"/>
        <v>688320.87255195389</v>
      </c>
      <c r="M68" s="3">
        <f t="shared" si="33"/>
        <v>0</v>
      </c>
      <c r="N68" s="3">
        <f t="shared" si="34"/>
        <v>0</v>
      </c>
      <c r="O68" s="3">
        <f t="shared" si="35"/>
        <v>0</v>
      </c>
      <c r="P68" s="3">
        <f t="shared" si="36"/>
        <v>0</v>
      </c>
      <c r="Q68" s="3"/>
    </row>
    <row r="69" spans="4:17" x14ac:dyDescent="0.35">
      <c r="D69" s="183" t="str">
        <f t="shared" si="28"/>
        <v>szakképzetlen</v>
      </c>
      <c r="E69" s="3">
        <f>'Előrejelzési variáns'!U32</f>
        <v>78912.933722523725</v>
      </c>
      <c r="F69" s="3">
        <f>'Előrejelzési variáns'!V32</f>
        <v>125102.36657355634</v>
      </c>
      <c r="G69" s="3">
        <f>'Előrejelzési variáns'!W32</f>
        <v>127935.28131791719</v>
      </c>
      <c r="H69" s="3">
        <f>'Előrejelzési variáns'!X32</f>
        <v>331950.58161399723</v>
      </c>
      <c r="I69" s="3">
        <f t="shared" si="29"/>
        <v>78912.933722523725</v>
      </c>
      <c r="J69" s="3">
        <f t="shared" si="30"/>
        <v>125102.36657355634</v>
      </c>
      <c r="K69" s="3">
        <f t="shared" si="31"/>
        <v>127935.28131791719</v>
      </c>
      <c r="L69" s="3">
        <f t="shared" si="32"/>
        <v>331950.58161399723</v>
      </c>
      <c r="M69" s="3">
        <f t="shared" si="33"/>
        <v>0</v>
      </c>
      <c r="N69" s="3">
        <f t="shared" si="34"/>
        <v>0</v>
      </c>
      <c r="O69" s="3">
        <f t="shared" si="35"/>
        <v>0</v>
      </c>
      <c r="P69" s="3">
        <f t="shared" si="36"/>
        <v>0</v>
      </c>
      <c r="Q69" s="3"/>
    </row>
    <row r="70" spans="4:17" x14ac:dyDescent="0.35">
      <c r="D70" s="183" t="str">
        <f t="shared" si="28"/>
        <v>összesen</v>
      </c>
      <c r="E70" s="3">
        <f>'Előrejelzési variáns'!U33</f>
        <v>775275.31625160447</v>
      </c>
      <c r="F70" s="3">
        <f>'Előrejelzési variáns'!V33</f>
        <v>1988102.2230568724</v>
      </c>
      <c r="G70" s="3">
        <f>'Előrejelzési variáns'!W33</f>
        <v>1653218.7249568827</v>
      </c>
      <c r="H70" s="3">
        <f>'Előrejelzési variáns'!X33</f>
        <v>4416596.2642653594</v>
      </c>
      <c r="I70" s="3">
        <f t="shared" si="29"/>
        <v>775275.31625160447</v>
      </c>
      <c r="J70" s="3">
        <f t="shared" si="30"/>
        <v>1988102.2230568724</v>
      </c>
      <c r="K70" s="3">
        <f t="shared" si="31"/>
        <v>1653218.7249568827</v>
      </c>
      <c r="L70" s="3">
        <f t="shared" si="32"/>
        <v>4416596.2642653594</v>
      </c>
      <c r="M70" s="3">
        <f t="shared" si="33"/>
        <v>0</v>
      </c>
      <c r="N70" s="3">
        <f t="shared" si="34"/>
        <v>0</v>
      </c>
      <c r="O70" s="3">
        <f t="shared" si="35"/>
        <v>0</v>
      </c>
      <c r="P70" s="3">
        <f t="shared" si="36"/>
        <v>0</v>
      </c>
      <c r="Q70" s="3"/>
    </row>
    <row r="71" spans="4:17" x14ac:dyDescent="0.35">
      <c r="E71" s="3"/>
      <c r="F71" s="3"/>
      <c r="G71" s="3"/>
      <c r="H71" s="3"/>
      <c r="I71" s="3">
        <f t="shared" si="29"/>
        <v>0</v>
      </c>
      <c r="J71" s="3">
        <f t="shared" si="30"/>
        <v>0</v>
      </c>
      <c r="K71" s="3">
        <f t="shared" si="31"/>
        <v>0</v>
      </c>
      <c r="L71" s="3">
        <f t="shared" si="32"/>
        <v>0</v>
      </c>
      <c r="M71" s="3">
        <f t="shared" si="33"/>
        <v>0</v>
      </c>
      <c r="N71" s="3">
        <f t="shared" si="34"/>
        <v>0</v>
      </c>
      <c r="O71" s="3">
        <f t="shared" si="35"/>
        <v>0</v>
      </c>
      <c r="P71" s="3">
        <f t="shared" si="36"/>
        <v>0</v>
      </c>
      <c r="Q71" s="3"/>
    </row>
    <row r="72" spans="4:17" x14ac:dyDescent="0.35">
      <c r="D72" s="183" t="str">
        <f t="shared" ref="D72:D79" si="37">D47</f>
        <v>0-7 osztály</v>
      </c>
      <c r="E72" s="3">
        <f>'Előrejelzési variáns'!U35</f>
        <v>3117.2570250471845</v>
      </c>
      <c r="F72" s="3">
        <f>'Előrejelzési variáns'!V35</f>
        <v>3088.9521763718144</v>
      </c>
      <c r="G72" s="3">
        <f>'Előrejelzési variáns'!W35</f>
        <v>3509.0622867335787</v>
      </c>
      <c r="H72" s="3">
        <f>'Előrejelzési variáns'!X35</f>
        <v>9715.2714881525771</v>
      </c>
      <c r="I72" s="3">
        <f t="shared" si="29"/>
        <v>3117.2570250471845</v>
      </c>
      <c r="J72" s="3">
        <f t="shared" si="30"/>
        <v>3088.9521763718144</v>
      </c>
      <c r="K72" s="3">
        <f t="shared" si="31"/>
        <v>3509.0622867335787</v>
      </c>
      <c r="L72" s="3">
        <f t="shared" si="32"/>
        <v>9715.2714881525771</v>
      </c>
      <c r="M72" s="3">
        <f t="shared" si="33"/>
        <v>0</v>
      </c>
      <c r="N72" s="3">
        <f t="shared" si="34"/>
        <v>0</v>
      </c>
      <c r="O72" s="3">
        <f t="shared" si="35"/>
        <v>0</v>
      </c>
      <c r="P72" s="3">
        <f t="shared" si="36"/>
        <v>0</v>
      </c>
      <c r="Q72" s="3"/>
    </row>
    <row r="73" spans="4:17" x14ac:dyDescent="0.35">
      <c r="D73" s="183" t="str">
        <f t="shared" si="37"/>
        <v>8 osztály</v>
      </c>
      <c r="E73" s="3">
        <f>'Előrejelzési variáns'!U36</f>
        <v>90729.840976061299</v>
      </c>
      <c r="F73" s="3">
        <f>'Előrejelzési variáns'!V36</f>
        <v>229110.90011619046</v>
      </c>
      <c r="G73" s="3">
        <f>'Előrejelzési variáns'!W36</f>
        <v>94127.81237446559</v>
      </c>
      <c r="H73" s="3">
        <f>'Előrejelzési variáns'!X36</f>
        <v>413968.55346671731</v>
      </c>
      <c r="I73" s="3">
        <f t="shared" si="29"/>
        <v>90729.840976061299</v>
      </c>
      <c r="J73" s="3">
        <f t="shared" si="30"/>
        <v>229110.90011619046</v>
      </c>
      <c r="K73" s="3">
        <f t="shared" si="31"/>
        <v>94127.81237446559</v>
      </c>
      <c r="L73" s="3">
        <f t="shared" si="32"/>
        <v>413968.55346671731</v>
      </c>
      <c r="M73" s="3">
        <f t="shared" si="33"/>
        <v>0</v>
      </c>
      <c r="N73" s="3">
        <f t="shared" si="34"/>
        <v>0</v>
      </c>
      <c r="O73" s="3">
        <f t="shared" si="35"/>
        <v>0</v>
      </c>
      <c r="P73" s="3">
        <f t="shared" si="36"/>
        <v>0</v>
      </c>
      <c r="Q73" s="3"/>
    </row>
    <row r="74" spans="4:17" x14ac:dyDescent="0.35">
      <c r="D74" s="183" t="str">
        <f t="shared" si="37"/>
        <v>szakiskola</v>
      </c>
      <c r="E74" s="3">
        <f>'Előrejelzési variáns'!U37</f>
        <v>170074.58575880781</v>
      </c>
      <c r="F74" s="3">
        <f>'Előrejelzési variáns'!V37</f>
        <v>693698.49709116691</v>
      </c>
      <c r="G74" s="3">
        <f>'Előrejelzési variáns'!W37</f>
        <v>304906.27552307013</v>
      </c>
      <c r="H74" s="3">
        <f>'Előrejelzési variáns'!X37</f>
        <v>1168679.358373045</v>
      </c>
      <c r="I74" s="3">
        <f t="shared" si="29"/>
        <v>170074.58575880781</v>
      </c>
      <c r="J74" s="3">
        <f t="shared" si="30"/>
        <v>693698.49709116691</v>
      </c>
      <c r="K74" s="3">
        <f t="shared" si="31"/>
        <v>304906.27552307013</v>
      </c>
      <c r="L74" s="3">
        <f t="shared" si="32"/>
        <v>1168679.358373045</v>
      </c>
      <c r="M74" s="3">
        <f t="shared" si="33"/>
        <v>0</v>
      </c>
      <c r="N74" s="3">
        <f t="shared" si="34"/>
        <v>0</v>
      </c>
      <c r="O74" s="3">
        <f t="shared" si="35"/>
        <v>0</v>
      </c>
      <c r="P74" s="3">
        <f t="shared" si="36"/>
        <v>0</v>
      </c>
      <c r="Q74" s="3"/>
    </row>
    <row r="75" spans="4:17" x14ac:dyDescent="0.35">
      <c r="D75" s="183" t="str">
        <f t="shared" si="37"/>
        <v>Gimnázium</v>
      </c>
      <c r="E75" s="3">
        <f>'Előrejelzési variáns'!U38</f>
        <v>119972.6792791625</v>
      </c>
      <c r="F75" s="3">
        <f>'Előrejelzési variáns'!V38</f>
        <v>248037.64151760269</v>
      </c>
      <c r="G75" s="3">
        <f>'Előrejelzési variáns'!W38</f>
        <v>253721.07477594618</v>
      </c>
      <c r="H75" s="3">
        <f>'Előrejelzési variáns'!X38</f>
        <v>621731.39557271136</v>
      </c>
      <c r="I75" s="3">
        <f t="shared" si="29"/>
        <v>119972.6792791625</v>
      </c>
      <c r="J75" s="3">
        <f t="shared" si="30"/>
        <v>248037.64151760269</v>
      </c>
      <c r="K75" s="3">
        <f t="shared" si="31"/>
        <v>253721.07477594618</v>
      </c>
      <c r="L75" s="3">
        <f t="shared" si="32"/>
        <v>621731.39557271136</v>
      </c>
      <c r="M75" s="3">
        <f t="shared" si="33"/>
        <v>0</v>
      </c>
      <c r="N75" s="3">
        <f t="shared" si="34"/>
        <v>0</v>
      </c>
      <c r="O75" s="3">
        <f t="shared" si="35"/>
        <v>0</v>
      </c>
      <c r="P75" s="3">
        <f t="shared" si="36"/>
        <v>0</v>
      </c>
      <c r="Q75" s="3"/>
    </row>
    <row r="76" spans="4:17" x14ac:dyDescent="0.35">
      <c r="D76" s="183" t="str">
        <f t="shared" si="37"/>
        <v>Technikum</v>
      </c>
      <c r="E76" s="3">
        <f>'Előrejelzési variáns'!U39</f>
        <v>148581.60886403886</v>
      </c>
      <c r="F76" s="3">
        <f>'Előrejelzési variáns'!V39</f>
        <v>415233.23099402816</v>
      </c>
      <c r="G76" s="3">
        <f>'Előrejelzési variáns'!W39</f>
        <v>375311.25422274653</v>
      </c>
      <c r="H76" s="3">
        <f>'Előrejelzési variáns'!X39</f>
        <v>939126.09408081346</v>
      </c>
      <c r="I76" s="3">
        <f t="shared" si="29"/>
        <v>148581.60886403886</v>
      </c>
      <c r="J76" s="3">
        <f t="shared" si="30"/>
        <v>415233.23099402816</v>
      </c>
      <c r="K76" s="3">
        <f t="shared" si="31"/>
        <v>375311.25422274653</v>
      </c>
      <c r="L76" s="3">
        <f t="shared" si="32"/>
        <v>939126.09408081346</v>
      </c>
      <c r="M76" s="3">
        <f t="shared" si="33"/>
        <v>0</v>
      </c>
      <c r="N76" s="3">
        <f t="shared" si="34"/>
        <v>0</v>
      </c>
      <c r="O76" s="3">
        <f t="shared" si="35"/>
        <v>0</v>
      </c>
      <c r="P76" s="3">
        <f t="shared" si="36"/>
        <v>0</v>
      </c>
      <c r="Q76" s="3"/>
    </row>
    <row r="77" spans="4:17" x14ac:dyDescent="0.35">
      <c r="D77" s="183" t="str">
        <f t="shared" si="37"/>
        <v>Főiskola</v>
      </c>
      <c r="E77" s="3">
        <f>'Előrejelzési variáns'!U40</f>
        <v>134929.90859188893</v>
      </c>
      <c r="F77" s="3">
        <f>'Előrejelzési variáns'!V40</f>
        <v>210183.16515327847</v>
      </c>
      <c r="G77" s="3">
        <f>'Előrejelzési variáns'!W40</f>
        <v>360952.90117212397</v>
      </c>
      <c r="H77" s="3">
        <f>'Előrejelzési variáns'!X40</f>
        <v>706065.97491729143</v>
      </c>
      <c r="I77" s="3">
        <f t="shared" si="29"/>
        <v>134929.90859188893</v>
      </c>
      <c r="J77" s="3">
        <f t="shared" si="30"/>
        <v>210183.16515327847</v>
      </c>
      <c r="K77" s="3">
        <f t="shared" si="31"/>
        <v>360952.90117212397</v>
      </c>
      <c r="L77" s="3">
        <f t="shared" si="32"/>
        <v>706065.97491729143</v>
      </c>
      <c r="M77" s="3">
        <f t="shared" si="33"/>
        <v>0</v>
      </c>
      <c r="N77" s="3">
        <f t="shared" si="34"/>
        <v>0</v>
      </c>
      <c r="O77" s="3">
        <f t="shared" si="35"/>
        <v>0</v>
      </c>
      <c r="P77" s="3">
        <f t="shared" si="36"/>
        <v>0</v>
      </c>
      <c r="Q77" s="3"/>
    </row>
    <row r="78" spans="4:17" x14ac:dyDescent="0.35">
      <c r="D78" s="183" t="str">
        <f t="shared" si="37"/>
        <v>Egyetem</v>
      </c>
      <c r="E78" s="3">
        <f>'Előrejelzési variáns'!U41</f>
        <v>107869.43575659933</v>
      </c>
      <c r="F78" s="3">
        <f>'Előrejelzési variáns'!V41</f>
        <v>188749.83600823343</v>
      </c>
      <c r="G78" s="3">
        <f>'Előrejelzési variáns'!W41</f>
        <v>260690.34460179662</v>
      </c>
      <c r="H78" s="3">
        <f>'Előrejelzési variáns'!X41</f>
        <v>557309.61636662937</v>
      </c>
      <c r="I78" s="3">
        <f t="shared" si="29"/>
        <v>107869.43575659933</v>
      </c>
      <c r="J78" s="3">
        <f t="shared" si="30"/>
        <v>188749.83600823343</v>
      </c>
      <c r="K78" s="3">
        <f t="shared" si="31"/>
        <v>260690.34460179662</v>
      </c>
      <c r="L78" s="3">
        <f t="shared" si="32"/>
        <v>557309.61636662937</v>
      </c>
      <c r="M78" s="3">
        <f t="shared" si="33"/>
        <v>0</v>
      </c>
      <c r="N78" s="3">
        <f t="shared" si="34"/>
        <v>0</v>
      </c>
      <c r="O78" s="3">
        <f t="shared" si="35"/>
        <v>0</v>
      </c>
      <c r="P78" s="3">
        <f t="shared" si="36"/>
        <v>0</v>
      </c>
      <c r="Q78" s="3"/>
    </row>
    <row r="79" spans="4:17" x14ac:dyDescent="0.35">
      <c r="D79" s="183" t="str">
        <f t="shared" si="37"/>
        <v>Összesen</v>
      </c>
      <c r="E79" s="3">
        <f>'Előrejelzési variáns'!U42</f>
        <v>775275.31625160587</v>
      </c>
      <c r="F79" s="3">
        <f>'Előrejelzési variáns'!V42</f>
        <v>1988102.2230568719</v>
      </c>
      <c r="G79" s="3">
        <f>'Előrejelzési variáns'!W42</f>
        <v>1653218.7249568829</v>
      </c>
      <c r="H79" s="3">
        <f>'Előrejelzési variáns'!X42</f>
        <v>4416596.2642653612</v>
      </c>
      <c r="I79" s="3">
        <f t="shared" si="29"/>
        <v>775275.31625160587</v>
      </c>
      <c r="J79" s="3">
        <f t="shared" si="30"/>
        <v>1988102.2230568719</v>
      </c>
      <c r="K79" s="3">
        <f t="shared" si="31"/>
        <v>1653218.7249568829</v>
      </c>
      <c r="L79" s="3">
        <f t="shared" si="32"/>
        <v>4416596.2642653612</v>
      </c>
      <c r="M79" s="3">
        <f t="shared" si="33"/>
        <v>0</v>
      </c>
      <c r="N79" s="3">
        <f t="shared" si="34"/>
        <v>0</v>
      </c>
      <c r="O79" s="3">
        <f t="shared" si="35"/>
        <v>0</v>
      </c>
      <c r="P79" s="3">
        <f t="shared" si="36"/>
        <v>0</v>
      </c>
      <c r="Q79" s="3"/>
    </row>
    <row r="80" spans="4:17" x14ac:dyDescent="0.35"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</row>
    <row r="81" spans="3:17" x14ac:dyDescent="0.35">
      <c r="D81" s="183" t="s">
        <v>1162</v>
      </c>
      <c r="E81" s="3">
        <f t="shared" ref="E81:P81" si="38">E77+E78</f>
        <v>242799.34434848826</v>
      </c>
      <c r="F81" s="3">
        <f t="shared" si="38"/>
        <v>398933.00116151187</v>
      </c>
      <c r="G81" s="3">
        <f t="shared" si="38"/>
        <v>621643.24577392056</v>
      </c>
      <c r="H81" s="3">
        <f t="shared" si="38"/>
        <v>1263375.5912839207</v>
      </c>
      <c r="I81" s="3">
        <f t="shared" si="38"/>
        <v>242799.34434848826</v>
      </c>
      <c r="J81" s="3">
        <f t="shared" si="38"/>
        <v>398933.00116151187</v>
      </c>
      <c r="K81" s="3">
        <f t="shared" si="38"/>
        <v>621643.24577392056</v>
      </c>
      <c r="L81" s="3">
        <f t="shared" si="38"/>
        <v>1263375.5912839207</v>
      </c>
      <c r="M81" s="3">
        <f t="shared" si="38"/>
        <v>0</v>
      </c>
      <c r="N81" s="3">
        <f t="shared" si="38"/>
        <v>0</v>
      </c>
      <c r="O81" s="3">
        <f t="shared" si="38"/>
        <v>0</v>
      </c>
      <c r="P81" s="3">
        <f t="shared" si="38"/>
        <v>0</v>
      </c>
      <c r="Q81" s="3"/>
    </row>
    <row r="82" spans="3:17" x14ac:dyDescent="0.35">
      <c r="D82" s="183" t="s">
        <v>1163</v>
      </c>
      <c r="E82" s="3">
        <f t="shared" ref="E82:P82" si="39">E74+E75+E76</f>
        <v>438628.87390200922</v>
      </c>
      <c r="F82" s="3">
        <f t="shared" si="39"/>
        <v>1356969.3696027978</v>
      </c>
      <c r="G82" s="3">
        <f t="shared" si="39"/>
        <v>933938.60452176281</v>
      </c>
      <c r="H82" s="3">
        <f t="shared" si="39"/>
        <v>2729536.8480265699</v>
      </c>
      <c r="I82" s="3">
        <f t="shared" si="39"/>
        <v>438628.87390200922</v>
      </c>
      <c r="J82" s="3">
        <f t="shared" si="39"/>
        <v>1356969.3696027978</v>
      </c>
      <c r="K82" s="3">
        <f t="shared" si="39"/>
        <v>933938.60452176281</v>
      </c>
      <c r="L82" s="3">
        <f t="shared" si="39"/>
        <v>2729536.8480265699</v>
      </c>
      <c r="M82" s="3">
        <f t="shared" si="39"/>
        <v>0</v>
      </c>
      <c r="N82" s="3">
        <f t="shared" si="39"/>
        <v>0</v>
      </c>
      <c r="O82" s="3">
        <f t="shared" si="39"/>
        <v>0</v>
      </c>
      <c r="P82" s="3">
        <f t="shared" si="39"/>
        <v>0</v>
      </c>
      <c r="Q82" s="3"/>
    </row>
    <row r="83" spans="3:17" x14ac:dyDescent="0.35">
      <c r="D83" s="183" t="s">
        <v>1164</v>
      </c>
      <c r="E83" s="3">
        <f t="shared" ref="E83:P83" si="40">E72+E73</f>
        <v>93847.09800110849</v>
      </c>
      <c r="F83" s="3">
        <f t="shared" si="40"/>
        <v>232199.85229256228</v>
      </c>
      <c r="G83" s="3">
        <f t="shared" si="40"/>
        <v>97636.874661199166</v>
      </c>
      <c r="H83" s="3">
        <f t="shared" si="40"/>
        <v>423683.82495486987</v>
      </c>
      <c r="I83" s="3">
        <f t="shared" si="40"/>
        <v>93847.09800110849</v>
      </c>
      <c r="J83" s="3">
        <f t="shared" si="40"/>
        <v>232199.85229256228</v>
      </c>
      <c r="K83" s="3">
        <f t="shared" si="40"/>
        <v>97636.874661199166</v>
      </c>
      <c r="L83" s="3">
        <f t="shared" si="40"/>
        <v>423683.82495486987</v>
      </c>
      <c r="M83" s="3">
        <f t="shared" si="40"/>
        <v>0</v>
      </c>
      <c r="N83" s="3">
        <f t="shared" si="40"/>
        <v>0</v>
      </c>
      <c r="O83" s="3">
        <f t="shared" si="40"/>
        <v>0</v>
      </c>
      <c r="P83" s="3">
        <f t="shared" si="40"/>
        <v>0</v>
      </c>
      <c r="Q83" s="3"/>
    </row>
    <row r="85" spans="3:17" x14ac:dyDescent="0.35">
      <c r="C85" s="183">
        <v>2025</v>
      </c>
      <c r="D85" s="183" t="str">
        <f t="shared" ref="D85:D95" si="41">D60</f>
        <v>Fegyveresek</v>
      </c>
      <c r="E85" s="3">
        <f>'Bazis modell FES adatai'!BL5</f>
        <v>-75.886549577061444</v>
      </c>
      <c r="F85" s="3">
        <f>'Bazis modell FES adatai'!BM5</f>
        <v>-13.409816308557469</v>
      </c>
      <c r="G85" s="3">
        <f>'Bazis modell FES adatai'!BN5</f>
        <v>6876.0011041102807</v>
      </c>
      <c r="H85" s="3">
        <f t="shared" ref="H85:H95" si="42">SUM(E85:G85)</f>
        <v>6786.7047382246619</v>
      </c>
      <c r="I85" s="3">
        <f>'Előrejelzési variáns'!AD23</f>
        <v>-91.033080330846047</v>
      </c>
      <c r="J85" s="3">
        <f>'Előrejelzési variáns'!AE23</f>
        <v>-12.653369775562547</v>
      </c>
      <c r="K85" s="3">
        <f>'Előrejelzési variáns'!AF23</f>
        <v>6912.8826697672066</v>
      </c>
      <c r="L85" s="3">
        <f t="shared" ref="L85:L95" si="43">SUM(I85:K85)</f>
        <v>6809.1962196607983</v>
      </c>
      <c r="M85" s="3">
        <f t="shared" ref="M85:M95" si="44">I85-E85</f>
        <v>-15.146530753784603</v>
      </c>
      <c r="N85" s="3">
        <f t="shared" ref="N85:N95" si="45">J85-F85</f>
        <v>0.75644653299492148</v>
      </c>
      <c r="O85" s="3">
        <f t="shared" ref="O85:O95" si="46">K85-G85</f>
        <v>36.881565656925886</v>
      </c>
      <c r="P85" s="3">
        <f t="shared" ref="P85:P95" si="47">SUM(M85:O85)</f>
        <v>22.491481436136205</v>
      </c>
      <c r="Q85" s="3"/>
    </row>
    <row r="86" spans="3:17" x14ac:dyDescent="0.35">
      <c r="D86" s="183" t="str">
        <f t="shared" si="41"/>
        <v>Vezetők</v>
      </c>
      <c r="E86" s="3">
        <f>'Bazis modell FES adatai'!BL6</f>
        <v>28519.681353354648</v>
      </c>
      <c r="F86" s="3">
        <f>'Bazis modell FES adatai'!BM6</f>
        <v>75846.35758733179</v>
      </c>
      <c r="G86" s="3">
        <f>'Bazis modell FES adatai'!BN6</f>
        <v>78197.112711751135</v>
      </c>
      <c r="H86" s="3">
        <f t="shared" si="42"/>
        <v>182563.15165243758</v>
      </c>
      <c r="I86" s="3">
        <f>'Előrejelzési variáns'!AD24</f>
        <v>34212.050200195699</v>
      </c>
      <c r="J86" s="3">
        <f>'Előrejelzési variáns'!AE24</f>
        <v>71567.871371184505</v>
      </c>
      <c r="K86" s="3">
        <f>'Előrejelzési variáns'!AF24</f>
        <v>78616.547191617123</v>
      </c>
      <c r="L86" s="3">
        <f t="shared" si="43"/>
        <v>184396.46876299731</v>
      </c>
      <c r="M86" s="3">
        <f t="shared" si="44"/>
        <v>5692.368846841051</v>
      </c>
      <c r="N86" s="3">
        <f t="shared" si="45"/>
        <v>-4278.4862161472847</v>
      </c>
      <c r="O86" s="3">
        <f t="shared" si="46"/>
        <v>419.43447986598767</v>
      </c>
      <c r="P86" s="3">
        <f t="shared" si="47"/>
        <v>1833.3171105597539</v>
      </c>
      <c r="Q86" s="3"/>
    </row>
    <row r="87" spans="3:17" x14ac:dyDescent="0.35">
      <c r="D87" s="183" t="str">
        <f t="shared" si="41"/>
        <v>Felsőfokúak</v>
      </c>
      <c r="E87" s="3">
        <f>'Bazis modell FES adatai'!BL7</f>
        <v>104279.58973730594</v>
      </c>
      <c r="F87" s="3">
        <f>'Bazis modell FES adatai'!BM7</f>
        <v>263192.20634928643</v>
      </c>
      <c r="G87" s="3">
        <f>'Bazis modell FES adatai'!BN7</f>
        <v>390111.33667452581</v>
      </c>
      <c r="H87" s="3">
        <f t="shared" si="42"/>
        <v>757583.13276111824</v>
      </c>
      <c r="I87" s="3">
        <f>'Előrejelzési variáns'!AD25</f>
        <v>125093.21246427177</v>
      </c>
      <c r="J87" s="3">
        <f>'Előrejelzési variáns'!AE25</f>
        <v>248345.55763888225</v>
      </c>
      <c r="K87" s="3">
        <f>'Előrejelzési variáns'!AF25</f>
        <v>392203.81988667534</v>
      </c>
      <c r="L87" s="3">
        <f t="shared" si="43"/>
        <v>765642.58998982934</v>
      </c>
      <c r="M87" s="3">
        <f t="shared" si="44"/>
        <v>20813.622726965827</v>
      </c>
      <c r="N87" s="3">
        <f t="shared" si="45"/>
        <v>-14846.648710404173</v>
      </c>
      <c r="O87" s="3">
        <f t="shared" si="46"/>
        <v>2092.4832121495274</v>
      </c>
      <c r="P87" s="3">
        <f t="shared" si="47"/>
        <v>8059.4572287111805</v>
      </c>
      <c r="Q87" s="3"/>
    </row>
    <row r="88" spans="3:17" x14ac:dyDescent="0.35">
      <c r="D88" s="183" t="str">
        <f t="shared" si="41"/>
        <v>Egyéb felső</v>
      </c>
      <c r="E88" s="3">
        <f>'Bazis modell FES adatai'!BL8</f>
        <v>200068.3679428091</v>
      </c>
      <c r="F88" s="3">
        <f>'Bazis modell FES adatai'!BM8</f>
        <v>340852.77012477885</v>
      </c>
      <c r="G88" s="3">
        <f>'Bazis modell FES adatai'!BN8</f>
        <v>408280.70534978301</v>
      </c>
      <c r="H88" s="3">
        <f t="shared" si="42"/>
        <v>949201.84341737092</v>
      </c>
      <c r="I88" s="3">
        <f>'Előrejelzési variáns'!AD26</f>
        <v>240000.89491622211</v>
      </c>
      <c r="J88" s="3">
        <f>'Előrejelzési variáns'!AE26</f>
        <v>321625.29599017301</v>
      </c>
      <c r="K88" s="3">
        <f>'Előrejelzési variáns'!AF26</f>
        <v>410470.64560907299</v>
      </c>
      <c r="L88" s="3">
        <f t="shared" si="43"/>
        <v>972096.83651546808</v>
      </c>
      <c r="M88" s="3">
        <f t="shared" si="44"/>
        <v>39932.526973413012</v>
      </c>
      <c r="N88" s="3">
        <f t="shared" si="45"/>
        <v>-19227.474134605844</v>
      </c>
      <c r="O88" s="3">
        <f t="shared" si="46"/>
        <v>2189.940259289986</v>
      </c>
      <c r="P88" s="3">
        <f t="shared" si="47"/>
        <v>22894.993098097155</v>
      </c>
      <c r="Q88" s="3"/>
    </row>
    <row r="89" spans="3:17" x14ac:dyDescent="0.35">
      <c r="D89" s="183" t="str">
        <f t="shared" si="41"/>
        <v>Iroda-ügyvitel</v>
      </c>
      <c r="E89" s="3">
        <f>'Bazis modell FES adatai'!BL9</f>
        <v>112826.46875872224</v>
      </c>
      <c r="F89" s="3">
        <f>'Bazis modell FES adatai'!BM9</f>
        <v>136531.50172311527</v>
      </c>
      <c r="G89" s="3">
        <f>'Bazis modell FES adatai'!BN9</f>
        <v>103420.57953554465</v>
      </c>
      <c r="H89" s="3">
        <f t="shared" si="42"/>
        <v>352778.55001738213</v>
      </c>
      <c r="I89" s="3">
        <f>'Előrejelzési variáns'!AD27</f>
        <v>135346.00072346808</v>
      </c>
      <c r="J89" s="3">
        <f>'Előrejelzési variáns'!AE27</f>
        <v>128829.77197927581</v>
      </c>
      <c r="K89" s="3">
        <f>'Előrejelzési variáns'!AF27</f>
        <v>103975.30790697224</v>
      </c>
      <c r="L89" s="3">
        <f t="shared" si="43"/>
        <v>368151.08060971613</v>
      </c>
      <c r="M89" s="3">
        <f t="shared" si="44"/>
        <v>22519.531964745838</v>
      </c>
      <c r="N89" s="3">
        <f t="shared" si="45"/>
        <v>-7701.7297438394598</v>
      </c>
      <c r="O89" s="3">
        <f t="shared" si="46"/>
        <v>554.72837142759818</v>
      </c>
      <c r="P89" s="3">
        <f t="shared" si="47"/>
        <v>15372.530592333977</v>
      </c>
      <c r="Q89" s="3"/>
    </row>
    <row r="90" spans="3:17" x14ac:dyDescent="0.35">
      <c r="D90" s="183" t="str">
        <f t="shared" si="41"/>
        <v>Ker-szolg</v>
      </c>
      <c r="E90" s="3">
        <f>'Bazis modell FES adatai'!BL10</f>
        <v>52914.407556101607</v>
      </c>
      <c r="F90" s="3">
        <f>'Bazis modell FES adatai'!BM10</f>
        <v>87356.525347881558</v>
      </c>
      <c r="G90" s="3">
        <f>'Bazis modell FES adatai'!BN10</f>
        <v>550953.84963848349</v>
      </c>
      <c r="H90" s="3">
        <f t="shared" si="42"/>
        <v>691224.78254246665</v>
      </c>
      <c r="I90" s="3">
        <f>'Előrejelzési variáns'!AD28</f>
        <v>63475.827278484772</v>
      </c>
      <c r="J90" s="3">
        <f>'Előrejelzési variáns'!AE28</f>
        <v>82428.751602635035</v>
      </c>
      <c r="K90" s="3">
        <f>'Előrejelzési variáns'!AF28</f>
        <v>553909.06158096425</v>
      </c>
      <c r="L90" s="3">
        <f t="shared" si="43"/>
        <v>699813.64046208409</v>
      </c>
      <c r="M90" s="3">
        <f t="shared" si="44"/>
        <v>10561.419722383165</v>
      </c>
      <c r="N90" s="3">
        <f t="shared" si="45"/>
        <v>-4927.7737452465226</v>
      </c>
      <c r="O90" s="3">
        <f t="shared" si="46"/>
        <v>2955.2119424807606</v>
      </c>
      <c r="P90" s="3">
        <f t="shared" si="47"/>
        <v>8588.8579196174032</v>
      </c>
      <c r="Q90" s="3"/>
    </row>
    <row r="91" spans="3:17" x14ac:dyDescent="0.35">
      <c r="D91" s="183" t="str">
        <f t="shared" si="41"/>
        <v>Mező-erdő</v>
      </c>
      <c r="E91" s="3">
        <f>'Bazis modell FES adatai'!BL11</f>
        <v>143048.20997442069</v>
      </c>
      <c r="F91" s="3">
        <f>'Bazis modell FES adatai'!BM11</f>
        <v>12410.824800668077</v>
      </c>
      <c r="G91" s="3">
        <f>'Bazis modell FES adatai'!BN11</f>
        <v>2535.8617603080975</v>
      </c>
      <c r="H91" s="3">
        <f t="shared" si="42"/>
        <v>157994.89653539687</v>
      </c>
      <c r="I91" s="3">
        <f>'Előrejelzési variáns'!AD29</f>
        <v>171599.83241248096</v>
      </c>
      <c r="J91" s="3">
        <f>'Előrejelzési variáns'!AE29</f>
        <v>11710.731288866447</v>
      </c>
      <c r="K91" s="3">
        <f>'Előrejelzési variáns'!AF29</f>
        <v>2549.4636417786778</v>
      </c>
      <c r="L91" s="3">
        <f t="shared" si="43"/>
        <v>185860.0273431261</v>
      </c>
      <c r="M91" s="3">
        <f t="shared" si="44"/>
        <v>28551.622438060265</v>
      </c>
      <c r="N91" s="3">
        <f t="shared" si="45"/>
        <v>-700.09351180162957</v>
      </c>
      <c r="O91" s="3">
        <f t="shared" si="46"/>
        <v>13.601881470580338</v>
      </c>
      <c r="P91" s="3">
        <f t="shared" si="47"/>
        <v>27865.13080772922</v>
      </c>
      <c r="Q91" s="3"/>
    </row>
    <row r="92" spans="3:17" x14ac:dyDescent="0.35">
      <c r="D92" s="183" t="str">
        <f t="shared" si="41"/>
        <v>ipar-épip.</v>
      </c>
      <c r="E92" s="3">
        <f>'Bazis modell FES adatai'!BL12</f>
        <v>60525.046540381991</v>
      </c>
      <c r="F92" s="3">
        <f>'Bazis modell FES adatai'!BM12</f>
        <v>551104.66037370695</v>
      </c>
      <c r="G92" s="3">
        <f>'Bazis modell FES adatai'!BN12</f>
        <v>67137.666873111972</v>
      </c>
      <c r="H92" s="3">
        <f t="shared" si="42"/>
        <v>678767.37378720089</v>
      </c>
      <c r="I92" s="3">
        <f>'Előrejelzési variáns'!AD30</f>
        <v>72605.507226859801</v>
      </c>
      <c r="J92" s="3">
        <f>'Előrejelzési variáns'!AE30</f>
        <v>520016.89600284072</v>
      </c>
      <c r="K92" s="3">
        <f>'Előrejelzési variáns'!AF30</f>
        <v>67497.780583296408</v>
      </c>
      <c r="L92" s="3">
        <f t="shared" si="43"/>
        <v>660120.18381299695</v>
      </c>
      <c r="M92" s="3">
        <f t="shared" si="44"/>
        <v>12080.460686477811</v>
      </c>
      <c r="N92" s="3">
        <f t="shared" si="45"/>
        <v>-31087.764370866236</v>
      </c>
      <c r="O92" s="3">
        <f t="shared" si="46"/>
        <v>360.11371018443606</v>
      </c>
      <c r="P92" s="3">
        <f t="shared" si="47"/>
        <v>-18647.18997420399</v>
      </c>
      <c r="Q92" s="3"/>
    </row>
    <row r="93" spans="3:17" x14ac:dyDescent="0.35">
      <c r="D93" s="183" t="str">
        <f t="shared" si="41"/>
        <v>Összeszerelők</v>
      </c>
      <c r="E93" s="3">
        <f>'Bazis modell FES adatai'!BL13</f>
        <v>97086.198167244627</v>
      </c>
      <c r="F93" s="3">
        <f>'Bazis modell FES adatai'!BM13</f>
        <v>731026.98385761725</v>
      </c>
      <c r="G93" s="3">
        <f>'Bazis modell FES adatai'!BN13</f>
        <v>22368.151668307415</v>
      </c>
      <c r="H93" s="3">
        <f t="shared" si="42"/>
        <v>850481.33369316929</v>
      </c>
      <c r="I93" s="3">
        <f>'Előrejelzési variáns'!AD31</f>
        <v>116464.06017973355</v>
      </c>
      <c r="J93" s="3">
        <f>'Előrejelzési variáns'!AE31</f>
        <v>689789.81738637004</v>
      </c>
      <c r="K93" s="3">
        <f>'Előrejelzési variáns'!AF31</f>
        <v>22488.130190981825</v>
      </c>
      <c r="L93" s="3">
        <f t="shared" si="43"/>
        <v>828742.00775708538</v>
      </c>
      <c r="M93" s="3">
        <f t="shared" si="44"/>
        <v>19377.862012488928</v>
      </c>
      <c r="N93" s="3">
        <f t="shared" si="45"/>
        <v>-41237.166471247212</v>
      </c>
      <c r="O93" s="3">
        <f t="shared" si="46"/>
        <v>119.97852267440976</v>
      </c>
      <c r="P93" s="3">
        <f t="shared" si="47"/>
        <v>-21739.325936083875</v>
      </c>
      <c r="Q93" s="3"/>
    </row>
    <row r="94" spans="3:17" x14ac:dyDescent="0.35">
      <c r="D94" s="183" t="str">
        <f t="shared" si="41"/>
        <v>szakképzetlen</v>
      </c>
      <c r="E94" s="3">
        <f>'Bazis modell FES adatai'!BL14</f>
        <v>94723.652604167364</v>
      </c>
      <c r="F94" s="3">
        <f>'Bazis modell FES adatai'!BM14</f>
        <v>134810.23190457959</v>
      </c>
      <c r="G94" s="3">
        <f>'Bazis modell FES adatai'!BN14</f>
        <v>126975.35911302209</v>
      </c>
      <c r="H94" s="3">
        <f t="shared" si="42"/>
        <v>356509.24362176907</v>
      </c>
      <c r="I94" s="3">
        <f>'Előrejelzési variáns'!AD32</f>
        <v>113629.96373935585</v>
      </c>
      <c r="J94" s="3">
        <f>'Előrejelzési variáns'!AE32</f>
        <v>127205.59883653492</v>
      </c>
      <c r="K94" s="3">
        <f>'Előrejelzési variáns'!AF32</f>
        <v>127656.43085414487</v>
      </c>
      <c r="L94" s="3">
        <f t="shared" si="43"/>
        <v>368491.99343003565</v>
      </c>
      <c r="M94" s="3">
        <f t="shared" si="44"/>
        <v>18906.311135188487</v>
      </c>
      <c r="N94" s="3">
        <f t="shared" si="45"/>
        <v>-7604.6330680446699</v>
      </c>
      <c r="O94" s="3">
        <f t="shared" si="46"/>
        <v>681.07174112278153</v>
      </c>
      <c r="P94" s="3">
        <f t="shared" si="47"/>
        <v>11982.749808266599</v>
      </c>
      <c r="Q94" s="3"/>
    </row>
    <row r="95" spans="3:17" x14ac:dyDescent="0.35">
      <c r="D95" s="183" t="str">
        <f t="shared" si="41"/>
        <v>összesen</v>
      </c>
      <c r="E95" s="3">
        <f>'Bazis modell FES adatai'!BL15</f>
        <v>893915.73608493118</v>
      </c>
      <c r="F95" s="3">
        <f>'Bazis modell FES adatai'!BM15</f>
        <v>2333118.6522526573</v>
      </c>
      <c r="G95" s="3">
        <f>'Bazis modell FES adatai'!BN15</f>
        <v>1756856.6244289477</v>
      </c>
      <c r="H95" s="3">
        <f t="shared" si="42"/>
        <v>4983891.0127665363</v>
      </c>
      <c r="I95" s="3">
        <f>'Előrejelzési variáns'!AD33</f>
        <v>1072336.3160607417</v>
      </c>
      <c r="J95" s="3">
        <f>'Előrejelzési variáns'!AE33</f>
        <v>2201507.6387269869</v>
      </c>
      <c r="K95" s="3">
        <f>'Előrejelzési variáns'!AF33</f>
        <v>1766280.0701152708</v>
      </c>
      <c r="L95" s="3">
        <f t="shared" si="43"/>
        <v>5040124.0249029994</v>
      </c>
      <c r="M95" s="3">
        <f t="shared" si="44"/>
        <v>178420.57997581048</v>
      </c>
      <c r="N95" s="3">
        <f t="shared" si="45"/>
        <v>-131611.01352567039</v>
      </c>
      <c r="O95" s="3">
        <f t="shared" si="46"/>
        <v>9423.4456863231026</v>
      </c>
      <c r="P95" s="3">
        <f t="shared" si="47"/>
        <v>56233.012136463192</v>
      </c>
      <c r="Q95" s="3"/>
    </row>
    <row r="96" spans="3:17" x14ac:dyDescent="0.35"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</row>
    <row r="97" spans="4:53" x14ac:dyDescent="0.35">
      <c r="D97" s="183" t="str">
        <f t="shared" ref="D97:D104" si="48">D72</f>
        <v>0-7 osztály</v>
      </c>
      <c r="E97" s="3">
        <f>'Bazis modell FES adatai'!BL17</f>
        <v>3463.7845736735153</v>
      </c>
      <c r="F97" s="3">
        <f>'Bazis modell FES adatai'!BM17</f>
        <v>2851.743538738403</v>
      </c>
      <c r="G97" s="3">
        <f>'Bazis modell FES adatai'!BN17</f>
        <v>5264.3229720485306</v>
      </c>
      <c r="H97" s="3">
        <f t="shared" ref="H97:H104" si="49">SUM(E97:G97)</f>
        <v>11579.85108446045</v>
      </c>
      <c r="I97" s="3">
        <f>'Előrejelzési variáns'!AD35</f>
        <v>4155.1365966872117</v>
      </c>
      <c r="J97" s="3">
        <f>'Előrejelzési variáns'!AE35</f>
        <v>2690.8769419683395</v>
      </c>
      <c r="K97" s="3">
        <f>'Előrejelzési variáns'!AF35</f>
        <v>5292.5598019141926</v>
      </c>
      <c r="L97" s="3">
        <f t="shared" ref="L97:L104" si="50">SUM(I97:K97)</f>
        <v>12138.573340569743</v>
      </c>
      <c r="M97" s="3">
        <f t="shared" ref="M97:O104" si="51">I97-E97</f>
        <v>691.35202301369645</v>
      </c>
      <c r="N97" s="3">
        <f t="shared" si="51"/>
        <v>-160.86659677006355</v>
      </c>
      <c r="O97" s="3">
        <f t="shared" si="51"/>
        <v>28.236829865662003</v>
      </c>
      <c r="P97" s="3">
        <f t="shared" ref="P97:P104" si="52">SUM(M97:O97)</f>
        <v>558.7222561092949</v>
      </c>
      <c r="Q97" s="3"/>
    </row>
    <row r="98" spans="4:53" x14ac:dyDescent="0.35">
      <c r="D98" s="182" t="str">
        <f t="shared" si="48"/>
        <v>8 osztály</v>
      </c>
      <c r="E98" s="211">
        <f>'Bazis modell FES adatai'!BL18</f>
        <v>101769.94107046125</v>
      </c>
      <c r="F98" s="211">
        <f>'Bazis modell FES adatai'!BM18</f>
        <v>263207.08309300453</v>
      </c>
      <c r="G98" s="211">
        <f>'Bazis modell FES adatai'!BN18</f>
        <v>87314.920225931666</v>
      </c>
      <c r="H98" s="211">
        <f t="shared" si="49"/>
        <v>452291.94438939745</v>
      </c>
      <c r="I98" s="211">
        <f>'Előrejelzési variáns'!AD36</f>
        <v>122082.65196357231</v>
      </c>
      <c r="J98" s="211">
        <f>'Előrejelzési variáns'!AE36</f>
        <v>248359.59518682401</v>
      </c>
      <c r="K98" s="211">
        <f>'Előrejelzési variáns'!AF36</f>
        <v>87783.260895804007</v>
      </c>
      <c r="L98" s="211">
        <f t="shared" si="50"/>
        <v>458225.50804620038</v>
      </c>
      <c r="M98" s="211">
        <f t="shared" si="51"/>
        <v>20312.710893111056</v>
      </c>
      <c r="N98" s="211">
        <f t="shared" si="51"/>
        <v>-14847.487906180526</v>
      </c>
      <c r="O98" s="211">
        <f t="shared" si="51"/>
        <v>468.3406698723411</v>
      </c>
      <c r="P98" s="211">
        <f t="shared" si="52"/>
        <v>5933.5636568028713</v>
      </c>
      <c r="Q98" s="6"/>
    </row>
    <row r="99" spans="4:53" x14ac:dyDescent="0.35">
      <c r="D99" s="183" t="str">
        <f t="shared" si="48"/>
        <v>szakiskola</v>
      </c>
      <c r="E99" s="3">
        <f>'Bazis modell FES adatai'!BL19</f>
        <v>186941.48373215669</v>
      </c>
      <c r="F99" s="3">
        <f>'Bazis modell FES adatai'!BM19</f>
        <v>766252.88477640785</v>
      </c>
      <c r="G99" s="3">
        <f>'Bazis modell FES adatai'!BN19</f>
        <v>293501.95286340336</v>
      </c>
      <c r="H99" s="3">
        <f t="shared" si="49"/>
        <v>1246696.3213719679</v>
      </c>
      <c r="I99" s="3">
        <f>'Előrejelzési variáns'!AD37</f>
        <v>224253.95805452499</v>
      </c>
      <c r="J99" s="3">
        <f>'Előrejelzési variáns'!AE37</f>
        <v>723028.62839963846</v>
      </c>
      <c r="K99" s="3">
        <f>'Előrejelzési variáns'!AF37</f>
        <v>295076.24166601815</v>
      </c>
      <c r="L99" s="3">
        <f t="shared" si="50"/>
        <v>1242358.8281201816</v>
      </c>
      <c r="M99" s="3">
        <f t="shared" si="51"/>
        <v>37312.474322368304</v>
      </c>
      <c r="N99" s="3">
        <f t="shared" si="51"/>
        <v>-43224.256376769394</v>
      </c>
      <c r="O99" s="3">
        <f t="shared" si="51"/>
        <v>1574.2888026147848</v>
      </c>
      <c r="P99" s="3">
        <f t="shared" si="52"/>
        <v>-4337.4932517863053</v>
      </c>
      <c r="Q99" s="3"/>
    </row>
    <row r="100" spans="4:53" x14ac:dyDescent="0.35">
      <c r="D100" s="183" t="str">
        <f t="shared" si="48"/>
        <v>Gimnázium</v>
      </c>
      <c r="E100" s="3">
        <f>'Bazis modell FES adatai'!BL20</f>
        <v>173718.06784817504</v>
      </c>
      <c r="F100" s="3">
        <f>'Bazis modell FES adatai'!BM20</f>
        <v>365731.09753010859</v>
      </c>
      <c r="G100" s="3">
        <f>'Bazis modell FES adatai'!BN20</f>
        <v>332414.55218431726</v>
      </c>
      <c r="H100" s="3">
        <f t="shared" si="49"/>
        <v>871863.71756260085</v>
      </c>
      <c r="I100" s="3">
        <f>'Előrejelzési variáns'!AD38</f>
        <v>208391.22233754158</v>
      </c>
      <c r="J100" s="3">
        <f>'Előrejelzési variáns'!AE38</f>
        <v>345100.23918206914</v>
      </c>
      <c r="K100" s="3">
        <f>'Előrejelzési variáns'!AF38</f>
        <v>334197.56078860245</v>
      </c>
      <c r="L100" s="3">
        <f t="shared" si="50"/>
        <v>887689.02230821317</v>
      </c>
      <c r="M100" s="3">
        <f t="shared" si="51"/>
        <v>34673.154489366541</v>
      </c>
      <c r="N100" s="3">
        <f t="shared" si="51"/>
        <v>-20630.858348039445</v>
      </c>
      <c r="O100" s="3">
        <f t="shared" si="51"/>
        <v>1783.0086042851908</v>
      </c>
      <c r="P100" s="3">
        <f t="shared" si="52"/>
        <v>15825.304745612288</v>
      </c>
      <c r="Q100" s="3"/>
    </row>
    <row r="101" spans="4:53" x14ac:dyDescent="0.35">
      <c r="D101" s="182" t="str">
        <f t="shared" si="48"/>
        <v>Technikum</v>
      </c>
      <c r="E101" s="211">
        <f>'Bazis modell FES adatai'!BL21</f>
        <v>142599.08524716127</v>
      </c>
      <c r="F101" s="211">
        <f>'Bazis modell FES adatai'!BM21</f>
        <v>428949.51192779554</v>
      </c>
      <c r="G101" s="211">
        <f>'Bazis modell FES adatai'!BN21</f>
        <v>348972.25511408277</v>
      </c>
      <c r="H101" s="211">
        <f t="shared" si="49"/>
        <v>920520.85228903964</v>
      </c>
      <c r="I101" s="211">
        <f>'Előrejelzési variáns'!AD39</f>
        <v>171061.06490225627</v>
      </c>
      <c r="J101" s="211">
        <f>'Előrejelzési variáns'!AE39</f>
        <v>404752.50850422296</v>
      </c>
      <c r="K101" s="211">
        <f>'Előrejelzési variáns'!AF39</f>
        <v>350844.07609615644</v>
      </c>
      <c r="L101" s="211">
        <f t="shared" si="50"/>
        <v>926657.6495026357</v>
      </c>
      <c r="M101" s="211">
        <f t="shared" si="51"/>
        <v>28461.979655094998</v>
      </c>
      <c r="N101" s="211">
        <f t="shared" si="51"/>
        <v>-24197.003423572576</v>
      </c>
      <c r="O101" s="211">
        <f t="shared" si="51"/>
        <v>1871.8209820736665</v>
      </c>
      <c r="P101" s="211">
        <f t="shared" si="52"/>
        <v>6136.7972135960881</v>
      </c>
      <c r="Q101" s="6"/>
    </row>
    <row r="102" spans="4:53" x14ac:dyDescent="0.35">
      <c r="D102" s="183" t="str">
        <f t="shared" si="48"/>
        <v>Főiskola</v>
      </c>
      <c r="E102" s="3">
        <f>'Bazis modell FES adatai'!BL22</f>
        <v>160768.11846428172</v>
      </c>
      <c r="F102" s="3">
        <f>'Bazis modell FES adatai'!BM22</f>
        <v>247055.62832377065</v>
      </c>
      <c r="G102" s="3">
        <f>'Bazis modell FES adatai'!BN22</f>
        <v>378754.29643410363</v>
      </c>
      <c r="H102" s="3">
        <f t="shared" si="49"/>
        <v>786578.043222156</v>
      </c>
      <c r="I102" s="3">
        <f>'Előrejelzési variáns'!AD40</f>
        <v>192856.53550417558</v>
      </c>
      <c r="J102" s="3">
        <f>'Előrejelzési variáns'!AE40</f>
        <v>233119.24252979536</v>
      </c>
      <c r="K102" s="3">
        <f>'Előrejelzési variáns'!AF40</f>
        <v>380785.86263664928</v>
      </c>
      <c r="L102" s="3">
        <f t="shared" si="50"/>
        <v>806761.64067062025</v>
      </c>
      <c r="M102" s="3">
        <f t="shared" si="51"/>
        <v>32088.417039893859</v>
      </c>
      <c r="N102" s="3">
        <f t="shared" si="51"/>
        <v>-13936.385793975292</v>
      </c>
      <c r="O102" s="3">
        <f t="shared" si="51"/>
        <v>2031.566202545655</v>
      </c>
      <c r="P102" s="3">
        <f t="shared" si="52"/>
        <v>20183.597448464221</v>
      </c>
      <c r="Q102" s="3"/>
    </row>
    <row r="103" spans="4:53" x14ac:dyDescent="0.35">
      <c r="D103" s="182" t="str">
        <f t="shared" si="48"/>
        <v>Egyetem</v>
      </c>
      <c r="E103" s="211">
        <f>'Bazis modell FES adatai'!BL23</f>
        <v>124655.25514902337</v>
      </c>
      <c r="F103" s="211">
        <f>'Bazis modell FES adatai'!BM23</f>
        <v>259070.70306283585</v>
      </c>
      <c r="G103" s="211">
        <f>'Bazis modell FES adatai'!BN23</f>
        <v>310634.32463505823</v>
      </c>
      <c r="H103" s="211">
        <f t="shared" si="49"/>
        <v>694360.2828469174</v>
      </c>
      <c r="I103" s="211">
        <f>'Előrejelzési variáns'!AD41</f>
        <v>149535.74670198589</v>
      </c>
      <c r="J103" s="211">
        <f>'Előrejelzési variáns'!AE41</f>
        <v>244456.5479824729</v>
      </c>
      <c r="K103" s="211">
        <f>'Előrejelzési variáns'!AF41</f>
        <v>312300.50823012396</v>
      </c>
      <c r="L103" s="211">
        <f t="shared" si="50"/>
        <v>706292.80291458266</v>
      </c>
      <c r="M103" s="211">
        <f t="shared" si="51"/>
        <v>24880.491552962514</v>
      </c>
      <c r="N103" s="211">
        <f t="shared" si="51"/>
        <v>-14614.155080362951</v>
      </c>
      <c r="O103" s="211">
        <f t="shared" si="51"/>
        <v>1666.183595065726</v>
      </c>
      <c r="P103" s="211">
        <f t="shared" si="52"/>
        <v>11932.520067665289</v>
      </c>
      <c r="Q103" s="6"/>
    </row>
    <row r="104" spans="4:53" x14ac:dyDescent="0.35">
      <c r="D104" s="183" t="str">
        <f t="shared" si="48"/>
        <v>Összesen</v>
      </c>
      <c r="E104" s="3">
        <f>'Bazis modell FES adatai'!BL24</f>
        <v>893915.73608493293</v>
      </c>
      <c r="F104" s="3">
        <f>'Bazis modell FES adatai'!BM24</f>
        <v>2333118.6522526615</v>
      </c>
      <c r="G104" s="3">
        <f>'Bazis modell FES adatai'!BN24</f>
        <v>1756856.6244289456</v>
      </c>
      <c r="H104" s="3">
        <f t="shared" si="49"/>
        <v>4983891.0127665401</v>
      </c>
      <c r="I104" s="3">
        <f>'Előrejelzési variáns'!AD42</f>
        <v>1072336.316060744</v>
      </c>
      <c r="J104" s="3">
        <f>'Előrejelzési variáns'!AE42</f>
        <v>2201507.6387269911</v>
      </c>
      <c r="K104" s="3">
        <f>'Előrejelzési variáns'!AF42</f>
        <v>1766280.0701152685</v>
      </c>
      <c r="L104" s="3">
        <f t="shared" si="50"/>
        <v>5040124.0249030031</v>
      </c>
      <c r="M104" s="3">
        <f t="shared" si="51"/>
        <v>178420.57997581107</v>
      </c>
      <c r="N104" s="3">
        <f t="shared" si="51"/>
        <v>-131611.01352567039</v>
      </c>
      <c r="O104" s="3">
        <f t="shared" si="51"/>
        <v>9423.4456863228697</v>
      </c>
      <c r="P104" s="3">
        <f t="shared" si="52"/>
        <v>56233.012136463542</v>
      </c>
      <c r="Q104" s="3"/>
    </row>
    <row r="105" spans="4:53" x14ac:dyDescent="0.35"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</row>
    <row r="106" spans="4:53" x14ac:dyDescent="0.35">
      <c r="D106" s="183" t="s">
        <v>1162</v>
      </c>
      <c r="E106" s="3">
        <f t="shared" ref="E106:P106" si="53">E102+E103</f>
        <v>285423.3736133051</v>
      </c>
      <c r="F106" s="3">
        <f t="shared" si="53"/>
        <v>506126.3313866065</v>
      </c>
      <c r="G106" s="3">
        <f t="shared" si="53"/>
        <v>689388.62106916192</v>
      </c>
      <c r="H106" s="3">
        <f t="shared" si="53"/>
        <v>1480938.3260690733</v>
      </c>
      <c r="I106" s="3">
        <f t="shared" si="53"/>
        <v>342392.28220616147</v>
      </c>
      <c r="J106" s="3">
        <f t="shared" si="53"/>
        <v>477575.79051226826</v>
      </c>
      <c r="K106" s="3">
        <f t="shared" si="53"/>
        <v>693086.37086677318</v>
      </c>
      <c r="L106" s="3">
        <f t="shared" si="53"/>
        <v>1513054.443585203</v>
      </c>
      <c r="M106" s="3">
        <f t="shared" si="53"/>
        <v>56968.908592856373</v>
      </c>
      <c r="N106" s="3">
        <f t="shared" si="53"/>
        <v>-28550.540874338243</v>
      </c>
      <c r="O106" s="3">
        <f t="shared" si="53"/>
        <v>3697.7497976113809</v>
      </c>
      <c r="P106" s="3">
        <f t="shared" si="53"/>
        <v>32116.11751612951</v>
      </c>
      <c r="Q106" s="3"/>
    </row>
    <row r="107" spans="4:53" x14ac:dyDescent="0.35">
      <c r="D107" s="183" t="s">
        <v>1163</v>
      </c>
      <c r="E107" s="3">
        <f t="shared" ref="E107:P107" si="54">E99+E100+E101</f>
        <v>503258.63682749303</v>
      </c>
      <c r="F107" s="3">
        <f t="shared" si="54"/>
        <v>1560933.4942343121</v>
      </c>
      <c r="G107" s="3">
        <f t="shared" si="54"/>
        <v>974888.76016180334</v>
      </c>
      <c r="H107" s="3">
        <f t="shared" si="54"/>
        <v>3039080.8912236085</v>
      </c>
      <c r="I107" s="3">
        <f t="shared" si="54"/>
        <v>603706.24529432284</v>
      </c>
      <c r="J107" s="3">
        <f t="shared" si="54"/>
        <v>1472881.3760859305</v>
      </c>
      <c r="K107" s="3">
        <f t="shared" si="54"/>
        <v>980117.87855077698</v>
      </c>
      <c r="L107" s="3">
        <f t="shared" si="54"/>
        <v>3056705.4999310309</v>
      </c>
      <c r="M107" s="3">
        <f t="shared" si="54"/>
        <v>100447.60846682984</v>
      </c>
      <c r="N107" s="3">
        <f t="shared" si="54"/>
        <v>-88052.118148381414</v>
      </c>
      <c r="O107" s="3">
        <f t="shared" si="54"/>
        <v>5229.1183889736421</v>
      </c>
      <c r="P107" s="3">
        <f t="shared" si="54"/>
        <v>17624.60870742207</v>
      </c>
      <c r="Q107" s="3"/>
    </row>
    <row r="108" spans="4:53" x14ac:dyDescent="0.35">
      <c r="D108" s="183" t="s">
        <v>1164</v>
      </c>
      <c r="E108" s="3">
        <f t="shared" ref="E108:P108" si="55">E97+E98</f>
        <v>105233.72564413477</v>
      </c>
      <c r="F108" s="3">
        <f t="shared" si="55"/>
        <v>266058.82663174294</v>
      </c>
      <c r="G108" s="3">
        <f t="shared" si="55"/>
        <v>92579.243197980191</v>
      </c>
      <c r="H108" s="3">
        <f t="shared" si="55"/>
        <v>463871.7954738579</v>
      </c>
      <c r="I108" s="3">
        <f t="shared" si="55"/>
        <v>126237.78856025952</v>
      </c>
      <c r="J108" s="3">
        <f t="shared" si="55"/>
        <v>251050.47212879235</v>
      </c>
      <c r="K108" s="3">
        <f t="shared" si="55"/>
        <v>93075.820697718198</v>
      </c>
      <c r="L108" s="3">
        <f t="shared" si="55"/>
        <v>470364.08138677012</v>
      </c>
      <c r="M108" s="3">
        <f t="shared" si="55"/>
        <v>21004.062916124753</v>
      </c>
      <c r="N108" s="3">
        <f t="shared" si="55"/>
        <v>-15008.354502950589</v>
      </c>
      <c r="O108" s="3">
        <f t="shared" si="55"/>
        <v>496.5774997380031</v>
      </c>
      <c r="P108" s="3">
        <f t="shared" si="55"/>
        <v>6492.2859129121662</v>
      </c>
      <c r="Q108" s="3"/>
    </row>
    <row r="109" spans="4:53" x14ac:dyDescent="0.35"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</row>
    <row r="110" spans="4:53" x14ac:dyDescent="0.35"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</row>
    <row r="111" spans="4:53" x14ac:dyDescent="0.35"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</row>
    <row r="112" spans="4:53" x14ac:dyDescent="0.35">
      <c r="E112" s="3"/>
      <c r="F112" s="3"/>
      <c r="G112" s="3"/>
      <c r="H112" s="3"/>
      <c r="S112" s="183" t="s">
        <v>1165</v>
      </c>
      <c r="V112" s="183" t="s">
        <v>1166</v>
      </c>
      <c r="AH112" s="183" t="str">
        <f>CONCATENATE(S112," - ",AJ113)</f>
        <v>Foglalkoztatottak végzettsége - 2025 évi modellezés - 2025 évi bázis modell</v>
      </c>
      <c r="AO112" s="183" t="str">
        <f>V112</f>
        <v>Ezer fő</v>
      </c>
      <c r="AX112" s="183" t="str">
        <f>AH112</f>
        <v>Foglalkoztatottak végzettsége - 2025 évi modellezés - 2025 évi bázis modell</v>
      </c>
      <c r="BA112" s="213"/>
    </row>
    <row r="113" spans="5:62" x14ac:dyDescent="0.35">
      <c r="E113" s="3"/>
      <c r="F113" s="3"/>
      <c r="G113" s="3"/>
      <c r="H113" s="3"/>
      <c r="AJ113" s="183" t="s">
        <v>1188</v>
      </c>
      <c r="BA113" s="213"/>
    </row>
    <row r="114" spans="5:62" x14ac:dyDescent="0.35">
      <c r="E114" s="3"/>
      <c r="F114" s="3"/>
      <c r="G114" s="3"/>
      <c r="H114" s="3"/>
      <c r="BA114" s="213"/>
    </row>
    <row r="115" spans="5:62" x14ac:dyDescent="0.35">
      <c r="E115" s="3"/>
      <c r="F115" s="3"/>
      <c r="G115" s="3"/>
      <c r="H115" s="3"/>
      <c r="AK115" s="183" t="s">
        <v>1189</v>
      </c>
      <c r="BA115" s="213"/>
    </row>
    <row r="116" spans="5:62" x14ac:dyDescent="0.35">
      <c r="E116" s="3"/>
      <c r="F116" s="3"/>
      <c r="G116" s="3"/>
      <c r="H116" s="3"/>
      <c r="AL116" s="183" t="s">
        <v>1185</v>
      </c>
      <c r="AO116" s="243">
        <f>Peremszámok!BC37</f>
        <v>3.4334147496993372</v>
      </c>
      <c r="BA116" s="213"/>
    </row>
    <row r="117" spans="5:62" x14ac:dyDescent="0.35">
      <c r="E117" s="3"/>
      <c r="F117" s="3"/>
      <c r="G117" s="3"/>
      <c r="H117" s="3"/>
      <c r="AL117" s="183" t="s">
        <v>1186</v>
      </c>
      <c r="BA117" s="213"/>
    </row>
    <row r="118" spans="5:62" x14ac:dyDescent="0.35">
      <c r="E118" s="3"/>
      <c r="F118" s="3"/>
      <c r="G118" s="3"/>
      <c r="H118" s="3"/>
      <c r="AM118" s="183" t="s">
        <v>1190</v>
      </c>
      <c r="AO118" s="200">
        <f>Variánsképzés!AD41</f>
        <v>0.05</v>
      </c>
      <c r="BA118" s="213"/>
    </row>
    <row r="119" spans="5:62" x14ac:dyDescent="0.35">
      <c r="E119" s="3"/>
      <c r="F119" s="3"/>
      <c r="G119" s="3"/>
      <c r="H119" s="3"/>
      <c r="AL119" s="213"/>
      <c r="AM119" s="183" t="s">
        <v>1191</v>
      </c>
      <c r="AO119" s="200">
        <f>Variánsképzés!AE41</f>
        <v>-0.05</v>
      </c>
      <c r="BA119" s="213"/>
    </row>
    <row r="120" spans="5:62" x14ac:dyDescent="0.35">
      <c r="E120" s="3"/>
      <c r="F120" s="3"/>
      <c r="G120" s="3"/>
      <c r="H120" s="3"/>
      <c r="AL120" s="213"/>
      <c r="AM120" s="183" t="s">
        <v>1192</v>
      </c>
      <c r="AO120" s="200">
        <f>Variánsképzés!AF41</f>
        <v>0</v>
      </c>
      <c r="BA120" s="213"/>
    </row>
    <row r="121" spans="5:62" x14ac:dyDescent="0.35">
      <c r="E121" s="3"/>
      <c r="F121" s="3"/>
      <c r="G121" s="3"/>
      <c r="H121" s="3"/>
      <c r="AL121" s="213"/>
      <c r="BA121" s="213"/>
    </row>
    <row r="122" spans="5:62" x14ac:dyDescent="0.35">
      <c r="E122" s="3"/>
      <c r="F122" s="3"/>
      <c r="G122" s="3"/>
      <c r="H122" s="3"/>
      <c r="AL122" s="213" t="str">
        <f>CONCATENATE(AK115," ",AL116,Y117,ROUND(AO116,1),"%; ",AM118,AO118,"%;  ",AM119,AO119,"%; ",AR112,AM120,AO120,"%")</f>
        <v>A modellezési variáns tartalma: GDP növekedési ütem ( 2025/20) = 3,4%; Upstr._HÉ_% = +0,05%;  Gyárt._HÉ_% =-0,05%; Downstr._HÉ_% = +0%</v>
      </c>
      <c r="BA122" s="213"/>
    </row>
    <row r="123" spans="5:62" x14ac:dyDescent="0.35">
      <c r="E123" s="3"/>
      <c r="F123" s="3"/>
      <c r="G123" s="3"/>
      <c r="H123" s="3"/>
      <c r="AL123" s="213"/>
      <c r="BA123" s="213"/>
    </row>
    <row r="124" spans="5:62" ht="14.5" customHeight="1" x14ac:dyDescent="0.35">
      <c r="T124" s="414" t="str">
        <f>E3</f>
        <v>Upstream</v>
      </c>
      <c r="U124" s="414"/>
      <c r="V124" s="414"/>
      <c r="W124" s="414" t="str">
        <f>F3</f>
        <v>Gyártás</v>
      </c>
      <c r="X124" s="414"/>
      <c r="Y124" s="414"/>
      <c r="Z124" s="414" t="str">
        <f>G3</f>
        <v>Down-stream</v>
      </c>
      <c r="AA124" s="414"/>
      <c r="AB124" s="414"/>
      <c r="AC124" s="414" t="str">
        <f>H3</f>
        <v>Összesen</v>
      </c>
      <c r="AD124" s="414"/>
      <c r="AE124" s="414"/>
      <c r="AJ124" s="414" t="str">
        <f>T124</f>
        <v>Upstream</v>
      </c>
      <c r="AK124" s="414"/>
      <c r="AL124" s="414"/>
      <c r="AM124" s="414" t="str">
        <f>W124</f>
        <v>Gyártás</v>
      </c>
      <c r="AN124" s="414"/>
      <c r="AO124" s="414"/>
      <c r="AP124" s="414" t="str">
        <f>Z124</f>
        <v>Down-stream</v>
      </c>
      <c r="AQ124" s="414"/>
      <c r="AR124" s="414"/>
      <c r="AS124" s="414" t="str">
        <f>AC124</f>
        <v>Összesen</v>
      </c>
      <c r="AT124" s="414"/>
      <c r="AU124" s="414"/>
      <c r="AY124" s="414" t="str">
        <f t="shared" ref="AY124:BJ125" si="56">T124</f>
        <v>Upstream</v>
      </c>
      <c r="AZ124" s="414">
        <f t="shared" si="56"/>
        <v>0</v>
      </c>
      <c r="BA124" s="414">
        <f t="shared" si="56"/>
        <v>0</v>
      </c>
      <c r="BB124" s="414" t="str">
        <f t="shared" si="56"/>
        <v>Gyártás</v>
      </c>
      <c r="BC124" s="414">
        <f t="shared" si="56"/>
        <v>0</v>
      </c>
      <c r="BD124" s="414">
        <f t="shared" si="56"/>
        <v>0</v>
      </c>
      <c r="BE124" s="414" t="str">
        <f t="shared" si="56"/>
        <v>Down-stream</v>
      </c>
      <c r="BF124" s="414">
        <f t="shared" si="56"/>
        <v>0</v>
      </c>
      <c r="BG124" s="414">
        <f t="shared" si="56"/>
        <v>0</v>
      </c>
      <c r="BH124" s="414" t="str">
        <f t="shared" si="56"/>
        <v>Összesen</v>
      </c>
      <c r="BI124" s="414"/>
      <c r="BJ124" s="414"/>
    </row>
    <row r="125" spans="5:62" x14ac:dyDescent="0.35">
      <c r="T125" s="188" t="str">
        <f>D31</f>
        <v>Felső</v>
      </c>
      <c r="U125" s="188" t="str">
        <f>D32</f>
        <v>Közép</v>
      </c>
      <c r="V125" s="188" t="str">
        <f>D33</f>
        <v>Alsó</v>
      </c>
      <c r="W125" s="188" t="str">
        <f>T125</f>
        <v>Felső</v>
      </c>
      <c r="X125" s="188" t="str">
        <f t="shared" ref="X125:Y125" si="57">U125</f>
        <v>Közép</v>
      </c>
      <c r="Y125" s="188" t="str">
        <f t="shared" si="57"/>
        <v>Alsó</v>
      </c>
      <c r="Z125" s="188" t="str">
        <f>W125</f>
        <v>Felső</v>
      </c>
      <c r="AA125" s="188" t="str">
        <f t="shared" ref="AA125" si="58">X125</f>
        <v>Közép</v>
      </c>
      <c r="AB125" s="188" t="str">
        <f t="shared" ref="AB125" si="59">Y125</f>
        <v>Alsó</v>
      </c>
      <c r="AC125" s="188" t="str">
        <f>Z125</f>
        <v>Felső</v>
      </c>
      <c r="AD125" s="188" t="str">
        <f t="shared" ref="AD125" si="60">AA125</f>
        <v>Közép</v>
      </c>
      <c r="AE125" s="188" t="str">
        <f t="shared" ref="AE125" si="61">AB125</f>
        <v>Alsó</v>
      </c>
      <c r="AF125" s="183" t="s">
        <v>20</v>
      </c>
      <c r="AJ125" s="206" t="str">
        <f>T125</f>
        <v>Felső</v>
      </c>
      <c r="AK125" s="206" t="str">
        <f t="shared" ref="AK125:AL125" si="62">U125</f>
        <v>Közép</v>
      </c>
      <c r="AL125" s="206" t="str">
        <f t="shared" si="62"/>
        <v>Alsó</v>
      </c>
      <c r="AM125" s="206" t="str">
        <f>AJ125</f>
        <v>Felső</v>
      </c>
      <c r="AN125" s="206" t="str">
        <f t="shared" ref="AN125:AO125" si="63">AK125</f>
        <v>Közép</v>
      </c>
      <c r="AO125" s="206" t="str">
        <f t="shared" si="63"/>
        <v>Alsó</v>
      </c>
      <c r="AP125" s="206" t="str">
        <f>AM125</f>
        <v>Felső</v>
      </c>
      <c r="AQ125" s="206" t="str">
        <f t="shared" ref="AQ125" si="64">AN125</f>
        <v>Közép</v>
      </c>
      <c r="AR125" s="206" t="str">
        <f t="shared" ref="AR125" si="65">AO125</f>
        <v>Alsó</v>
      </c>
      <c r="AS125" s="206" t="str">
        <f>AP125</f>
        <v>Felső</v>
      </c>
      <c r="AT125" s="206" t="str">
        <f t="shared" ref="AT125" si="66">AQ125</f>
        <v>Közép</v>
      </c>
      <c r="AU125" s="206" t="str">
        <f t="shared" ref="AU125" si="67">AR125</f>
        <v>Alsó</v>
      </c>
      <c r="AY125" s="206" t="str">
        <f>T125</f>
        <v>Felső</v>
      </c>
      <c r="AZ125" s="206" t="str">
        <f t="shared" si="56"/>
        <v>Közép</v>
      </c>
      <c r="BA125" s="206" t="str">
        <f t="shared" si="56"/>
        <v>Alsó</v>
      </c>
      <c r="BB125" s="206" t="str">
        <f t="shared" si="56"/>
        <v>Felső</v>
      </c>
      <c r="BC125" s="206" t="str">
        <f t="shared" si="56"/>
        <v>Közép</v>
      </c>
      <c r="BD125" s="206" t="str">
        <f t="shared" si="56"/>
        <v>Alsó</v>
      </c>
      <c r="BE125" s="206" t="str">
        <f t="shared" si="56"/>
        <v>Felső</v>
      </c>
      <c r="BF125" s="206" t="str">
        <f t="shared" si="56"/>
        <v>Közép</v>
      </c>
      <c r="BG125" s="206" t="str">
        <f t="shared" si="56"/>
        <v>Alsó</v>
      </c>
      <c r="BH125" s="206" t="str">
        <f t="shared" si="56"/>
        <v>Felső</v>
      </c>
      <c r="BI125" s="206" t="str">
        <f t="shared" si="56"/>
        <v>Közép</v>
      </c>
      <c r="BJ125" s="206" t="str">
        <f t="shared" si="56"/>
        <v>Alsó</v>
      </c>
    </row>
    <row r="126" spans="5:62" x14ac:dyDescent="0.35">
      <c r="R126" s="414" t="str">
        <f>T124</f>
        <v>Upstream</v>
      </c>
      <c r="S126" s="183">
        <f>C10</f>
        <v>2011</v>
      </c>
      <c r="T126" s="3">
        <f>E31/10^3</f>
        <v>186.64</v>
      </c>
      <c r="U126" s="3">
        <f>E32/10^3</f>
        <v>341.74400000000003</v>
      </c>
      <c r="V126" s="3">
        <f>E33/10^3</f>
        <v>79.004000000000005</v>
      </c>
      <c r="AF126" s="3">
        <f>V126+Y131+AB136-H33/10^3</f>
        <v>0</v>
      </c>
      <c r="AI126" s="183" t="str">
        <f>AJ124</f>
        <v>Upstream</v>
      </c>
      <c r="AJ126" s="3">
        <f>T130-T129</f>
        <v>56.968908592856394</v>
      </c>
      <c r="AK126" s="3">
        <f>U130-U129</f>
        <v>100.44760846682976</v>
      </c>
      <c r="AL126" s="3">
        <f>V130-V129</f>
        <v>21.004062916124752</v>
      </c>
      <c r="AM126" s="3"/>
      <c r="AN126" s="3"/>
      <c r="AO126" s="3"/>
      <c r="AP126" s="3"/>
      <c r="AQ126" s="3"/>
      <c r="AR126" s="3"/>
      <c r="AS126" s="3"/>
      <c r="AT126" s="3"/>
      <c r="AU126" s="3"/>
      <c r="AW126" s="414" t="str">
        <f>R126</f>
        <v>Upstream</v>
      </c>
      <c r="AX126" s="183">
        <f t="shared" ref="AX126:AX140" si="68">S126</f>
        <v>2011</v>
      </c>
      <c r="AY126" s="207">
        <f t="shared" ref="AY126:BA130" si="69">T126/$AC141</f>
        <v>0.3072829887979347</v>
      </c>
      <c r="AZ126" s="207">
        <f t="shared" si="69"/>
        <v>0.56264529427647569</v>
      </c>
      <c r="BA126" s="207">
        <f t="shared" si="69"/>
        <v>0.13007171692558958</v>
      </c>
      <c r="BB126" s="207"/>
      <c r="BC126" s="207"/>
      <c r="BD126" s="207"/>
      <c r="BE126" s="207"/>
      <c r="BF126" s="207"/>
      <c r="BG126" s="207"/>
      <c r="BH126" s="207">
        <f>AC141/$AC141</f>
        <v>1</v>
      </c>
      <c r="BI126" s="3"/>
      <c r="BJ126" s="3"/>
    </row>
    <row r="127" spans="5:62" x14ac:dyDescent="0.35">
      <c r="R127" s="414"/>
      <c r="S127" s="3">
        <f>C35</f>
        <v>2015</v>
      </c>
      <c r="T127" s="3">
        <f>E56/10^3</f>
        <v>220.536</v>
      </c>
      <c r="U127" s="3">
        <f>E57/10^3</f>
        <v>380.15699999999998</v>
      </c>
      <c r="V127" s="3">
        <f>E58/10^3</f>
        <v>84.266999999999996</v>
      </c>
      <c r="AF127" s="3">
        <f>V127+Y132+AB137-H58/10^3</f>
        <v>0</v>
      </c>
      <c r="AI127" s="183" t="str">
        <f>AM124</f>
        <v>Gyártás</v>
      </c>
      <c r="AJ127" s="3"/>
      <c r="AK127" s="3"/>
      <c r="AL127" s="3"/>
      <c r="AM127" s="3">
        <f>W135-W134</f>
        <v>-28.550540874338253</v>
      </c>
      <c r="AN127" s="3">
        <f>X135-X134</f>
        <v>-88.052118148381624</v>
      </c>
      <c r="AO127" s="3">
        <f>Y135-Y134</f>
        <v>-15.008354502950596</v>
      </c>
      <c r="AW127" s="414"/>
      <c r="AX127" s="183">
        <f t="shared" si="68"/>
        <v>2015</v>
      </c>
      <c r="AY127" s="207">
        <f t="shared" si="69"/>
        <v>0.32196916608269094</v>
      </c>
      <c r="AZ127" s="207">
        <f t="shared" si="69"/>
        <v>0.55500613174491931</v>
      </c>
      <c r="BA127" s="207">
        <f t="shared" si="69"/>
        <v>0.12302470217238962</v>
      </c>
      <c r="BB127" s="207"/>
      <c r="BC127" s="207"/>
      <c r="BD127" s="207"/>
      <c r="BE127" s="207"/>
      <c r="BF127" s="207"/>
      <c r="BG127" s="207"/>
      <c r="BH127" s="207">
        <f>AC142/$AC142</f>
        <v>1</v>
      </c>
    </row>
    <row r="128" spans="5:62" x14ac:dyDescent="0.35">
      <c r="R128" s="414"/>
      <c r="S128" s="3">
        <f>C60</f>
        <v>2020</v>
      </c>
      <c r="T128" s="3">
        <f>E81/10^3</f>
        <v>242.79934434848826</v>
      </c>
      <c r="U128" s="3">
        <f>E82/10^3</f>
        <v>438.62887390200922</v>
      </c>
      <c r="V128" s="3">
        <f>E83/10^3</f>
        <v>93.847098001108492</v>
      </c>
      <c r="AF128" s="3">
        <f>V128+Y133+AB138-H83/10^3</f>
        <v>0</v>
      </c>
      <c r="AI128" s="183" t="str">
        <f>AP124</f>
        <v>Down-stream</v>
      </c>
      <c r="AJ128" s="3"/>
      <c r="AK128" s="3"/>
      <c r="AL128" s="3"/>
      <c r="AM128" s="3"/>
      <c r="AN128" s="3"/>
      <c r="AO128" s="3"/>
      <c r="AP128" s="3">
        <f>Z140-Z139</f>
        <v>3.6977497976113227</v>
      </c>
      <c r="AQ128" s="3">
        <f>AA140-AA139</f>
        <v>5.2291183889735748</v>
      </c>
      <c r="AR128" s="3">
        <f>AB140-AB139</f>
        <v>0.49657749973800946</v>
      </c>
      <c r="AS128" s="3"/>
      <c r="AT128" s="3"/>
      <c r="AU128" s="3"/>
      <c r="AW128" s="414"/>
      <c r="AX128" s="183">
        <f t="shared" si="68"/>
        <v>2020</v>
      </c>
      <c r="AY128" s="207">
        <f t="shared" si="69"/>
        <v>0.31317822102527865</v>
      </c>
      <c r="AZ128" s="207">
        <f t="shared" si="69"/>
        <v>0.56577175192774698</v>
      </c>
      <c r="BA128" s="207">
        <f t="shared" si="69"/>
        <v>0.12105002704697435</v>
      </c>
      <c r="BB128" s="207"/>
      <c r="BC128" s="207"/>
      <c r="BD128" s="207"/>
      <c r="BE128" s="207"/>
      <c r="BF128" s="207"/>
      <c r="BG128" s="207"/>
      <c r="BH128" s="207">
        <f>AC143/$AC143</f>
        <v>1</v>
      </c>
      <c r="BI128" s="3"/>
      <c r="BJ128" s="3"/>
    </row>
    <row r="129" spans="18:62" x14ac:dyDescent="0.35">
      <c r="R129" s="414"/>
      <c r="S129" s="212" t="s">
        <v>1160</v>
      </c>
      <c r="T129" s="3">
        <f>E106/10^3</f>
        <v>285.4233736133051</v>
      </c>
      <c r="U129" s="3">
        <f>E107/10^3</f>
        <v>503.25863682749304</v>
      </c>
      <c r="V129" s="3">
        <f>E108/10^3</f>
        <v>105.23372564413476</v>
      </c>
      <c r="AF129" s="3">
        <f>V129+Y134+AB139-H108/10^3</f>
        <v>0</v>
      </c>
      <c r="AI129" s="183" t="str">
        <f>AS124</f>
        <v>Összesen</v>
      </c>
      <c r="AJ129" s="3"/>
      <c r="AK129" s="3"/>
      <c r="AL129" s="3"/>
      <c r="AM129" s="3"/>
      <c r="AN129" s="3"/>
      <c r="AO129" s="3"/>
      <c r="AP129" s="3"/>
      <c r="AQ129" s="3"/>
      <c r="AR129" s="3"/>
      <c r="AS129" s="3">
        <f>AJ126+AM127+AP128</f>
        <v>32.116117516129464</v>
      </c>
      <c r="AT129" s="3">
        <f t="shared" ref="AT129:AU129" si="70">AK126+AN127+AQ128</f>
        <v>17.624608707421714</v>
      </c>
      <c r="AU129" s="3">
        <f t="shared" si="70"/>
        <v>6.4922859129121662</v>
      </c>
      <c r="AW129" s="414"/>
      <c r="AX129" s="183" t="str">
        <f t="shared" si="68"/>
        <v>2025 bázis</v>
      </c>
      <c r="AY129" s="207">
        <f t="shared" si="69"/>
        <v>0.31929561377157184</v>
      </c>
      <c r="AZ129" s="207">
        <f t="shared" si="69"/>
        <v>0.56298218781963283</v>
      </c>
      <c r="BA129" s="207">
        <f t="shared" si="69"/>
        <v>0.11772219840879529</v>
      </c>
      <c r="BB129" s="207"/>
      <c r="BC129" s="207"/>
      <c r="BD129" s="207"/>
      <c r="BE129" s="207"/>
      <c r="BF129" s="207"/>
      <c r="BG129" s="207"/>
      <c r="BH129" s="207">
        <f>AC144/$AC144</f>
        <v>1</v>
      </c>
      <c r="BI129" s="3"/>
      <c r="BJ129" s="3"/>
    </row>
    <row r="130" spans="18:62" x14ac:dyDescent="0.35">
      <c r="R130" s="414"/>
      <c r="S130" s="183" t="s">
        <v>1161</v>
      </c>
      <c r="T130" s="3">
        <f>I106/10^3</f>
        <v>342.3922822061615</v>
      </c>
      <c r="U130" s="3">
        <f>I107/10^3</f>
        <v>603.7062452943228</v>
      </c>
      <c r="V130" s="3">
        <f>I108/10^3</f>
        <v>126.23778856025952</v>
      </c>
      <c r="AF130" s="3">
        <f>V130+Y135+AB140-L108/10^3</f>
        <v>0</v>
      </c>
      <c r="AM130" s="3"/>
      <c r="AN130" s="3"/>
      <c r="AO130" s="3"/>
      <c r="AP130" s="3"/>
      <c r="AQ130" s="3"/>
      <c r="AR130" s="3"/>
      <c r="AS130" s="3"/>
      <c r="AT130" s="3"/>
      <c r="AU130" s="3"/>
      <c r="AW130" s="414"/>
      <c r="AX130" s="183" t="str">
        <f t="shared" si="68"/>
        <v>2025 modellezés</v>
      </c>
      <c r="AY130" s="207">
        <f t="shared" si="69"/>
        <v>0.31929561377157184</v>
      </c>
      <c r="AZ130" s="207">
        <f t="shared" si="69"/>
        <v>0.56298218781963272</v>
      </c>
      <c r="BA130" s="207">
        <f t="shared" si="69"/>
        <v>0.1177221984087953</v>
      </c>
      <c r="BB130" s="207"/>
      <c r="BC130" s="207"/>
      <c r="BD130" s="207"/>
      <c r="BE130" s="207"/>
      <c r="BF130" s="207"/>
      <c r="BG130" s="207"/>
      <c r="BH130" s="207">
        <f>AC145/$AC145</f>
        <v>1</v>
      </c>
      <c r="BI130" s="3"/>
      <c r="BJ130" s="3"/>
    </row>
    <row r="131" spans="18:62" x14ac:dyDescent="0.35">
      <c r="R131" s="413" t="str">
        <f>W124</f>
        <v>Gyártás</v>
      </c>
      <c r="S131" s="183">
        <f>S126</f>
        <v>2011</v>
      </c>
      <c r="W131" s="3">
        <f>F31/10^3</f>
        <v>257.35000000000002</v>
      </c>
      <c r="X131" s="3">
        <f>F32/10^3</f>
        <v>1114.008</v>
      </c>
      <c r="Y131" s="3">
        <f>F33/10^3</f>
        <v>202.34899999999999</v>
      </c>
      <c r="AW131" s="413" t="str">
        <f t="shared" ref="AW131:AW136" si="71">R131</f>
        <v>Gyártás</v>
      </c>
      <c r="AX131" s="183">
        <f t="shared" si="68"/>
        <v>2011</v>
      </c>
      <c r="BB131" s="207">
        <f t="shared" ref="BB131:BD135" si="72">W131/$AD141</f>
        <v>0.16353107662353919</v>
      </c>
      <c r="BC131" s="207">
        <f t="shared" si="72"/>
        <v>0.70788780884878821</v>
      </c>
      <c r="BD131" s="207">
        <f t="shared" si="72"/>
        <v>0.12858111452767254</v>
      </c>
      <c r="BE131" s="207"/>
      <c r="BF131" s="207"/>
      <c r="BG131" s="207"/>
      <c r="BH131" s="207"/>
      <c r="BI131" s="207">
        <f>AD141/$AD141</f>
        <v>1</v>
      </c>
    </row>
    <row r="132" spans="18:62" x14ac:dyDescent="0.35">
      <c r="R132" s="413"/>
      <c r="S132" s="183">
        <f t="shared" ref="S132:S145" si="73">S127</f>
        <v>2015</v>
      </c>
      <c r="W132" s="3">
        <f>F56/10^3</f>
        <v>311.21600000000001</v>
      </c>
      <c r="X132" s="3">
        <f>F57/10^3</f>
        <v>1138.346</v>
      </c>
      <c r="Y132" s="3">
        <f>F58/10^3</f>
        <v>196.13399999999999</v>
      </c>
      <c r="AW132" s="413"/>
      <c r="AX132" s="183">
        <f t="shared" si="68"/>
        <v>2015</v>
      </c>
      <c r="BB132" s="207">
        <f t="shared" si="72"/>
        <v>0.18910904565606285</v>
      </c>
      <c r="BC132" s="207">
        <f t="shared" si="72"/>
        <v>0.69171098428871436</v>
      </c>
      <c r="BD132" s="207">
        <f t="shared" si="72"/>
        <v>0.11917997005522284</v>
      </c>
      <c r="BE132" s="207"/>
      <c r="BF132" s="207"/>
      <c r="BG132" s="207"/>
      <c r="BH132" s="207"/>
      <c r="BI132" s="207">
        <f>AD142/$AD142</f>
        <v>1</v>
      </c>
    </row>
    <row r="133" spans="18:62" x14ac:dyDescent="0.35">
      <c r="R133" s="413"/>
      <c r="S133" s="183">
        <f t="shared" si="73"/>
        <v>2020</v>
      </c>
      <c r="W133" s="3">
        <f>F81/10^3</f>
        <v>398.93300116151187</v>
      </c>
      <c r="X133" s="3">
        <f>F82/10^3</f>
        <v>1356.9693696027978</v>
      </c>
      <c r="Y133" s="3">
        <f>F83/10^3</f>
        <v>232.19985229256227</v>
      </c>
      <c r="AW133" s="413"/>
      <c r="AX133" s="183">
        <f t="shared" si="68"/>
        <v>2020</v>
      </c>
      <c r="BB133" s="207">
        <f t="shared" si="72"/>
        <v>0.2006602057655362</v>
      </c>
      <c r="BC133" s="207">
        <f t="shared" si="72"/>
        <v>0.68254506929545344</v>
      </c>
      <c r="BD133" s="207">
        <f t="shared" si="72"/>
        <v>0.1167947249390103</v>
      </c>
      <c r="BE133" s="207"/>
      <c r="BF133" s="207"/>
      <c r="BG133" s="207"/>
      <c r="BH133" s="207"/>
      <c r="BI133" s="207">
        <f>AD143/$AD143</f>
        <v>1</v>
      </c>
    </row>
    <row r="134" spans="18:62" x14ac:dyDescent="0.35">
      <c r="R134" s="413"/>
      <c r="S134" s="183" t="str">
        <f t="shared" si="73"/>
        <v>2025 bázis</v>
      </c>
      <c r="W134" s="3">
        <f>F106/10^3</f>
        <v>506.12633138660652</v>
      </c>
      <c r="X134" s="3">
        <f>F107/10^3</f>
        <v>1560.9334942343121</v>
      </c>
      <c r="Y134" s="3">
        <f>F108/10^3</f>
        <v>266.05882663174293</v>
      </c>
      <c r="AW134" s="413"/>
      <c r="AX134" s="183" t="str">
        <f t="shared" si="68"/>
        <v>2025 bázis</v>
      </c>
      <c r="BB134" s="207">
        <f t="shared" si="72"/>
        <v>0.21693124389449028</v>
      </c>
      <c r="BC134" s="207">
        <f t="shared" si="72"/>
        <v>0.66903305270274493</v>
      </c>
      <c r="BD134" s="207">
        <f t="shared" si="72"/>
        <v>0.11403570340276484</v>
      </c>
      <c r="BE134" s="207"/>
      <c r="BF134" s="207"/>
      <c r="BG134" s="207"/>
      <c r="BH134" s="207"/>
      <c r="BI134" s="207">
        <f>AD144/$AD144</f>
        <v>1</v>
      </c>
    </row>
    <row r="135" spans="18:62" x14ac:dyDescent="0.35">
      <c r="R135" s="413"/>
      <c r="S135" s="183" t="str">
        <f t="shared" si="73"/>
        <v>2025 modellezés</v>
      </c>
      <c r="W135" s="3">
        <f>J106/10^3</f>
        <v>477.57579051226827</v>
      </c>
      <c r="X135" s="3">
        <f>J107/10^3</f>
        <v>1472.8813760859305</v>
      </c>
      <c r="Y135" s="3">
        <f>J108/10^3</f>
        <v>251.05047212879234</v>
      </c>
      <c r="AW135" s="413"/>
      <c r="AX135" s="183" t="str">
        <f t="shared" si="68"/>
        <v>2025 modellezés</v>
      </c>
      <c r="BB135" s="207">
        <f t="shared" si="72"/>
        <v>0.21693124389449028</v>
      </c>
      <c r="BC135" s="207">
        <f t="shared" si="72"/>
        <v>0.66903305270274493</v>
      </c>
      <c r="BD135" s="207">
        <f t="shared" si="72"/>
        <v>0.11403570340276485</v>
      </c>
      <c r="BE135" s="207"/>
      <c r="BF135" s="207"/>
      <c r="BG135" s="207"/>
      <c r="BH135" s="207"/>
      <c r="BI135" s="207">
        <f>AD145/$AD145</f>
        <v>1</v>
      </c>
    </row>
    <row r="136" spans="18:62" x14ac:dyDescent="0.35">
      <c r="R136" s="414" t="str">
        <f>Z124</f>
        <v>Down-stream</v>
      </c>
      <c r="S136" s="183">
        <f>S131</f>
        <v>2011</v>
      </c>
      <c r="Z136" s="3">
        <f>G31/10^3</f>
        <v>509.82299999999998</v>
      </c>
      <c r="AA136" s="3">
        <f>G32/10^3</f>
        <v>842.24099999999999</v>
      </c>
      <c r="AB136" s="3">
        <f>G33/10^3</f>
        <v>109.398</v>
      </c>
      <c r="AW136" s="414" t="str">
        <f t="shared" si="71"/>
        <v>Down-stream</v>
      </c>
      <c r="AX136" s="183">
        <f t="shared" si="68"/>
        <v>2011</v>
      </c>
      <c r="BE136" s="207">
        <f t="shared" ref="BE136:BG140" si="74">Z136/$AE141</f>
        <v>0.34884451323400817</v>
      </c>
      <c r="BF136" s="207">
        <f t="shared" si="74"/>
        <v>0.5763003075002977</v>
      </c>
      <c r="BG136" s="207">
        <f t="shared" si="74"/>
        <v>7.4855179265694224E-2</v>
      </c>
      <c r="BH136" s="207"/>
      <c r="BI136" s="207"/>
      <c r="BJ136" s="207">
        <f>AE141/$AE141</f>
        <v>1</v>
      </c>
    </row>
    <row r="137" spans="18:62" x14ac:dyDescent="0.35">
      <c r="R137" s="414"/>
      <c r="S137" s="183">
        <f t="shared" si="73"/>
        <v>2015</v>
      </c>
      <c r="Z137" s="3">
        <f>G56/10^3</f>
        <v>582.20899999999995</v>
      </c>
      <c r="AA137" s="3">
        <f>G57/10^3</f>
        <v>881.30399999999997</v>
      </c>
      <c r="AB137" s="3">
        <f>G58/10^3</f>
        <v>93.555000000000007</v>
      </c>
      <c r="AW137" s="414"/>
      <c r="AX137" s="183">
        <f t="shared" si="68"/>
        <v>2015</v>
      </c>
      <c r="BE137" s="207">
        <f t="shared" si="74"/>
        <v>0.37391366337244097</v>
      </c>
      <c r="BF137" s="207">
        <f t="shared" si="74"/>
        <v>0.56600225552127459</v>
      </c>
      <c r="BG137" s="207">
        <f t="shared" si="74"/>
        <v>6.0084081106284382E-2</v>
      </c>
      <c r="BH137" s="207"/>
      <c r="BI137" s="207"/>
      <c r="BJ137" s="207">
        <f>AE142/$AE142</f>
        <v>1</v>
      </c>
    </row>
    <row r="138" spans="18:62" x14ac:dyDescent="0.35">
      <c r="R138" s="414"/>
      <c r="S138" s="183">
        <f t="shared" si="73"/>
        <v>2020</v>
      </c>
      <c r="Z138" s="3">
        <f>G81/10^3</f>
        <v>621.64324577392051</v>
      </c>
      <c r="AA138" s="3">
        <f>G82/10^3</f>
        <v>933.93860452176284</v>
      </c>
      <c r="AB138" s="3">
        <f>G83/10^3</f>
        <v>97.636874661199172</v>
      </c>
      <c r="AW138" s="414"/>
      <c r="AX138" s="183">
        <f t="shared" si="68"/>
        <v>2020</v>
      </c>
      <c r="BE138" s="207">
        <f t="shared" si="74"/>
        <v>0.37601996420052253</v>
      </c>
      <c r="BF138" s="207">
        <f t="shared" si="74"/>
        <v>0.56492138059113794</v>
      </c>
      <c r="BG138" s="207">
        <f t="shared" si="74"/>
        <v>5.9058655208339493E-2</v>
      </c>
      <c r="BH138" s="207"/>
      <c r="BI138" s="207"/>
      <c r="BJ138" s="207">
        <f>AE143/$AE143</f>
        <v>1</v>
      </c>
    </row>
    <row r="139" spans="18:62" x14ac:dyDescent="0.35">
      <c r="R139" s="414"/>
      <c r="S139" s="183" t="str">
        <f t="shared" si="73"/>
        <v>2025 bázis</v>
      </c>
      <c r="Z139" s="3">
        <f>G106/10^3</f>
        <v>689.3886210691619</v>
      </c>
      <c r="AA139" s="3">
        <f>G107/10^3</f>
        <v>974.88876016180336</v>
      </c>
      <c r="AB139" s="3">
        <f>G108/10^3</f>
        <v>92.57924319798019</v>
      </c>
      <c r="AW139" s="414"/>
      <c r="AX139" s="183" t="str">
        <f t="shared" si="68"/>
        <v>2025 bázis</v>
      </c>
      <c r="BE139" s="207">
        <f t="shared" si="74"/>
        <v>0.39239890807438149</v>
      </c>
      <c r="BF139" s="207">
        <f t="shared" si="74"/>
        <v>0.55490513375198414</v>
      </c>
      <c r="BG139" s="216">
        <f t="shared" si="74"/>
        <v>5.2695958173634379E-2</v>
      </c>
      <c r="BH139" s="207"/>
      <c r="BI139" s="207"/>
      <c r="BJ139" s="207">
        <f>AE144/$AE144</f>
        <v>1</v>
      </c>
    </row>
    <row r="140" spans="18:62" x14ac:dyDescent="0.35">
      <c r="R140" s="414"/>
      <c r="S140" s="183" t="str">
        <f t="shared" si="73"/>
        <v>2025 modellezés</v>
      </c>
      <c r="Z140" s="3">
        <f>K106/10^3</f>
        <v>693.08637086677322</v>
      </c>
      <c r="AA140" s="3">
        <f>K107/10^3</f>
        <v>980.11787855077694</v>
      </c>
      <c r="AB140" s="3">
        <f>K108/10^3</f>
        <v>93.0758206977182</v>
      </c>
      <c r="AW140" s="414"/>
      <c r="AX140" s="183" t="str">
        <f t="shared" si="68"/>
        <v>2025 modellezés</v>
      </c>
      <c r="BE140" s="207">
        <f t="shared" si="74"/>
        <v>0.39239890807438144</v>
      </c>
      <c r="BF140" s="207">
        <f t="shared" si="74"/>
        <v>0.55490513375198414</v>
      </c>
      <c r="BG140" s="216">
        <f t="shared" si="74"/>
        <v>5.2695958173634386E-2</v>
      </c>
      <c r="BH140" s="207"/>
      <c r="BI140" s="207"/>
      <c r="BJ140" s="207">
        <f>AE145/$AE145</f>
        <v>1</v>
      </c>
    </row>
    <row r="141" spans="18:62" x14ac:dyDescent="0.35">
      <c r="R141" s="414" t="str">
        <f>AC124</f>
        <v>Összesen</v>
      </c>
      <c r="S141" s="183">
        <f>S136</f>
        <v>2011</v>
      </c>
      <c r="AC141" s="3">
        <f>SUM(T126:V126)</f>
        <v>607.38800000000003</v>
      </c>
      <c r="AD141" s="3">
        <f>SUM(W131:Y131)</f>
        <v>1573.7070000000001</v>
      </c>
      <c r="AE141" s="3">
        <f>SUM(Z136:AB136)</f>
        <v>1461.4619999999998</v>
      </c>
    </row>
    <row r="142" spans="18:62" x14ac:dyDescent="0.35">
      <c r="R142" s="414"/>
      <c r="S142" s="183">
        <f t="shared" si="73"/>
        <v>2015</v>
      </c>
      <c r="AC142" s="3">
        <f>SUM(T127:V127)</f>
        <v>684.96</v>
      </c>
      <c r="AD142" s="3">
        <f>SUM(W132:Y132)</f>
        <v>1645.6959999999999</v>
      </c>
      <c r="AE142" s="3">
        <f>SUM(Z137:AB137)</f>
        <v>1557.068</v>
      </c>
    </row>
    <row r="143" spans="18:62" x14ac:dyDescent="0.35">
      <c r="R143" s="414"/>
      <c r="S143" s="183">
        <f t="shared" si="73"/>
        <v>2020</v>
      </c>
      <c r="AC143" s="3">
        <f>SUM(T128:V128)</f>
        <v>775.275316251606</v>
      </c>
      <c r="AD143" s="3">
        <f>SUM(W133:Y133)</f>
        <v>1988.1022230568719</v>
      </c>
      <c r="AE143" s="3">
        <f>SUM(Z138:AB138)</f>
        <v>1653.2187249568826</v>
      </c>
    </row>
    <row r="144" spans="18:62" x14ac:dyDescent="0.35">
      <c r="R144" s="414"/>
      <c r="S144" s="183" t="str">
        <f t="shared" si="73"/>
        <v>2025 bázis</v>
      </c>
      <c r="AC144" s="3">
        <f>SUM(T129:V129)</f>
        <v>893.91573608493297</v>
      </c>
      <c r="AD144" s="3">
        <f>SUM(W134:Y134)</f>
        <v>2333.1186522526614</v>
      </c>
      <c r="AE144" s="3">
        <f>SUM(Z139:AB139)</f>
        <v>1756.8566244289455</v>
      </c>
    </row>
    <row r="145" spans="18:31" x14ac:dyDescent="0.35">
      <c r="R145" s="414"/>
      <c r="S145" s="183" t="str">
        <f t="shared" si="73"/>
        <v>2025 modellezés</v>
      </c>
      <c r="AC145" s="3">
        <f>SUM(T130:V130)</f>
        <v>1072.3363160607439</v>
      </c>
      <c r="AD145" s="3">
        <f>SUM(W135:Y135)</f>
        <v>2201.507638726991</v>
      </c>
      <c r="AE145" s="3">
        <f>SUM(Z140:AB140)</f>
        <v>1766.2800701152685</v>
      </c>
    </row>
  </sheetData>
  <sheetProtection algorithmName="SHA-512" hashValue="u3VusqUWYg9qJWfNyqJfTdXcaN+jtv9eITimWhpTk+NDYd/L89p1BlQegBBT0ur3tlkGjfTRLxHQPcJEbn6IiA==" saltValue="Qh/HlSPV2bZHa5pOQsSfhw==" spinCount="100000" sheet="1" formatCells="0" formatColumns="0" formatRows="0" insertColumns="0" insertRows="0" insertHyperlinks="0" deleteColumns="0" deleteRows="0"/>
  <mergeCells count="22">
    <mergeCell ref="Z124:AB124"/>
    <mergeCell ref="AC124:AE124"/>
    <mergeCell ref="AJ124:AL124"/>
    <mergeCell ref="E2:H2"/>
    <mergeCell ref="I2:L2"/>
    <mergeCell ref="M2:P2"/>
    <mergeCell ref="AW136:AW140"/>
    <mergeCell ref="BH124:BJ124"/>
    <mergeCell ref="R141:R145"/>
    <mergeCell ref="AY124:BA124"/>
    <mergeCell ref="BB124:BD124"/>
    <mergeCell ref="BE124:BG124"/>
    <mergeCell ref="AW126:AW130"/>
    <mergeCell ref="AW131:AW135"/>
    <mergeCell ref="AM124:AO124"/>
    <mergeCell ref="AP124:AR124"/>
    <mergeCell ref="AS124:AU124"/>
    <mergeCell ref="R126:R130"/>
    <mergeCell ref="R131:R135"/>
    <mergeCell ref="R136:R140"/>
    <mergeCell ref="T124:V124"/>
    <mergeCell ref="W124:Y124"/>
  </mergeCells>
  <pageMargins left="0.7" right="0.7" top="0.75" bottom="0.75" header="0.3" footer="0.3"/>
  <pageSetup paperSize="9" orientation="portrait" horizontalDpi="4294967293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A9DDE-1763-4EB5-A007-783AD132D909}">
  <dimension ref="B2:BJ145"/>
  <sheetViews>
    <sheetView topLeftCell="AG94" zoomScale="60" zoomScaleNormal="60" workbookViewId="0">
      <selection activeCell="C30" sqref="C30"/>
    </sheetView>
  </sheetViews>
  <sheetFormatPr defaultColWidth="8.81640625" defaultRowHeight="14.5" x14ac:dyDescent="0.35"/>
  <cols>
    <col min="1" max="2" width="8.81640625" style="183"/>
    <col min="3" max="3" width="5.54296875" style="183" bestFit="1" customWidth="1"/>
    <col min="4" max="4" width="31.7265625" style="183" bestFit="1" customWidth="1"/>
    <col min="5" max="17" width="10.7265625" style="183" customWidth="1"/>
    <col min="18" max="18" width="8.81640625" style="183"/>
    <col min="19" max="19" width="15.7265625" style="183" bestFit="1" customWidth="1"/>
    <col min="20" max="31" width="10.7265625" style="183" customWidth="1"/>
    <col min="32" max="35" width="8.81640625" style="183"/>
    <col min="36" max="47" width="10.7265625" style="183" customWidth="1"/>
    <col min="48" max="49" width="8.81640625" style="183"/>
    <col min="50" max="50" width="16.26953125" style="183" bestFit="1" customWidth="1"/>
    <col min="51" max="62" width="10.7265625" style="183" customWidth="1"/>
    <col min="63" max="16384" width="8.81640625" style="183"/>
  </cols>
  <sheetData>
    <row r="2" spans="2:17" x14ac:dyDescent="0.35">
      <c r="E2" s="354" t="s">
        <v>1152</v>
      </c>
      <c r="F2" s="354"/>
      <c r="G2" s="354"/>
      <c r="H2" s="354"/>
      <c r="I2" s="354" t="s">
        <v>1153</v>
      </c>
      <c r="J2" s="354"/>
      <c r="K2" s="354"/>
      <c r="L2" s="354"/>
      <c r="M2" s="354" t="s">
        <v>1155</v>
      </c>
      <c r="N2" s="354"/>
      <c r="O2" s="354"/>
      <c r="P2" s="354"/>
      <c r="Q2" s="190"/>
    </row>
    <row r="3" spans="2:17" ht="29" x14ac:dyDescent="0.35">
      <c r="E3" s="189" t="s">
        <v>0</v>
      </c>
      <c r="F3" s="189" t="s">
        <v>1</v>
      </c>
      <c r="G3" s="189" t="s">
        <v>1154</v>
      </c>
      <c r="H3" s="189" t="s">
        <v>21</v>
      </c>
      <c r="I3" s="189" t="str">
        <f t="shared" ref="I3:P3" si="0">E3</f>
        <v>Upstream</v>
      </c>
      <c r="J3" s="189" t="str">
        <f t="shared" si="0"/>
        <v>Gyártás</v>
      </c>
      <c r="K3" s="189" t="str">
        <f t="shared" si="0"/>
        <v>Down-stream</v>
      </c>
      <c r="L3" s="189" t="str">
        <f t="shared" si="0"/>
        <v>Összesen</v>
      </c>
      <c r="M3" s="189" t="str">
        <f t="shared" si="0"/>
        <v>Upstream</v>
      </c>
      <c r="N3" s="189" t="str">
        <f t="shared" si="0"/>
        <v>Gyártás</v>
      </c>
      <c r="O3" s="189" t="str">
        <f t="shared" si="0"/>
        <v>Down-stream</v>
      </c>
      <c r="P3" s="189" t="str">
        <f t="shared" si="0"/>
        <v>Összesen</v>
      </c>
      <c r="Q3" s="210"/>
    </row>
    <row r="4" spans="2:17" x14ac:dyDescent="0.35">
      <c r="B4" s="183" t="s">
        <v>1140</v>
      </c>
    </row>
    <row r="5" spans="2:17" x14ac:dyDescent="0.35">
      <c r="C5" s="183">
        <v>2011</v>
      </c>
      <c r="E5" s="207">
        <f>'Előrejelzési variáns'!C19</f>
        <v>0.50754178198319977</v>
      </c>
      <c r="F5" s="207">
        <f>'Előrejelzési variáns'!D19</f>
        <v>0.34414549197046868</v>
      </c>
      <c r="G5" s="207">
        <f>'Előrejelzési variáns'!E19</f>
        <v>0.60364200004006485</v>
      </c>
      <c r="H5" s="207">
        <f>'Előrejelzési variáns'!F19</f>
        <v>0.41541711686591082</v>
      </c>
      <c r="I5" s="200">
        <f t="shared" ref="I5:L7" si="1">E5</f>
        <v>0.50754178198319977</v>
      </c>
      <c r="J5" s="200">
        <f t="shared" si="1"/>
        <v>0.34414549197046868</v>
      </c>
      <c r="K5" s="200">
        <f t="shared" si="1"/>
        <v>0.60364200004006485</v>
      </c>
      <c r="L5" s="200">
        <f t="shared" si="1"/>
        <v>0.41541711686591082</v>
      </c>
      <c r="M5" s="200">
        <f t="shared" ref="M5:P8" si="2">E5-I5</f>
        <v>0</v>
      </c>
      <c r="N5" s="200">
        <f t="shared" si="2"/>
        <v>0</v>
      </c>
      <c r="O5" s="200">
        <f t="shared" si="2"/>
        <v>0</v>
      </c>
      <c r="P5" s="200">
        <f t="shared" si="2"/>
        <v>0</v>
      </c>
      <c r="Q5" s="200"/>
    </row>
    <row r="6" spans="2:17" x14ac:dyDescent="0.35">
      <c r="C6" s="183">
        <v>2015</v>
      </c>
      <c r="E6" s="207">
        <f>'Előrejelzési variáns'!L19</f>
        <v>0.51640669906677039</v>
      </c>
      <c r="F6" s="207">
        <f>'Előrejelzési variáns'!M19</f>
        <v>0.35258581129842681</v>
      </c>
      <c r="G6" s="207">
        <f>'Előrejelzési variáns'!N19</f>
        <v>0.60277320999766226</v>
      </c>
      <c r="H6" s="207">
        <f>'Előrejelzési variáns'!P19</f>
        <v>0</v>
      </c>
      <c r="I6" s="200">
        <f t="shared" si="1"/>
        <v>0.51640669906677039</v>
      </c>
      <c r="J6" s="200">
        <f t="shared" si="1"/>
        <v>0.35258581129842681</v>
      </c>
      <c r="K6" s="200">
        <f t="shared" si="1"/>
        <v>0.60277320999766226</v>
      </c>
      <c r="L6" s="200">
        <f t="shared" si="1"/>
        <v>0</v>
      </c>
      <c r="M6" s="200">
        <f t="shared" si="2"/>
        <v>0</v>
      </c>
      <c r="N6" s="200">
        <f t="shared" si="2"/>
        <v>0</v>
      </c>
      <c r="O6" s="200">
        <f t="shared" si="2"/>
        <v>0</v>
      </c>
      <c r="P6" s="200">
        <f t="shared" si="2"/>
        <v>0</v>
      </c>
      <c r="Q6" s="200"/>
    </row>
    <row r="7" spans="2:17" x14ac:dyDescent="0.35">
      <c r="C7" s="183">
        <v>2020</v>
      </c>
      <c r="E7" s="207">
        <f>'Előrejelzési variáns'!U19</f>
        <v>0.53335815894460592</v>
      </c>
      <c r="F7" s="207">
        <f>'Előrejelzési variáns'!V19</f>
        <v>0.36008981423930164</v>
      </c>
      <c r="G7" s="207">
        <f>'Előrejelzési variáns'!W19</f>
        <v>0.60949687890009385</v>
      </c>
      <c r="H7" s="207">
        <f>'Előrejelzési variáns'!X19</f>
        <v>0.42969869401717004</v>
      </c>
      <c r="I7" s="200">
        <f t="shared" si="1"/>
        <v>0.53335815894460592</v>
      </c>
      <c r="J7" s="200">
        <f t="shared" si="1"/>
        <v>0.36008981423930164</v>
      </c>
      <c r="K7" s="200">
        <f t="shared" si="1"/>
        <v>0.60949687890009385</v>
      </c>
      <c r="L7" s="200">
        <f t="shared" si="1"/>
        <v>0.42969869401717004</v>
      </c>
      <c r="M7" s="200">
        <f t="shared" si="2"/>
        <v>0</v>
      </c>
      <c r="N7" s="200">
        <f t="shared" si="2"/>
        <v>0</v>
      </c>
      <c r="O7" s="200">
        <f t="shared" si="2"/>
        <v>0</v>
      </c>
      <c r="P7" s="200">
        <f t="shared" si="2"/>
        <v>0</v>
      </c>
      <c r="Q7" s="200"/>
    </row>
    <row r="8" spans="2:17" x14ac:dyDescent="0.35">
      <c r="C8" s="183">
        <v>2025</v>
      </c>
      <c r="E8" s="207">
        <f>Variánsképzés!U65</f>
        <v>0.53335815894460581</v>
      </c>
      <c r="F8" s="207">
        <f>Variánsképzés!V65</f>
        <v>0.36008981423930164</v>
      </c>
      <c r="G8" s="207">
        <f>Variánsképzés!W65</f>
        <v>0.60949687890009385</v>
      </c>
      <c r="H8" s="207">
        <f>Variánsképzés!X65</f>
        <v>0.42834088387018976</v>
      </c>
      <c r="I8" s="200">
        <f>'Előrejelzési variáns'!AD19</f>
        <v>0.55667733127806485</v>
      </c>
      <c r="J8" s="200">
        <f>'Előrejelzési variáns'!AE19</f>
        <v>0.34812546309778647</v>
      </c>
      <c r="K8" s="200">
        <f>'Előrejelzési variáns'!AF19</f>
        <v>0.60624509520424796</v>
      </c>
      <c r="L8" s="200">
        <f>'Előrejelzési variáns'!AG19</f>
        <v>0.43073416019972499</v>
      </c>
      <c r="M8" s="200">
        <f t="shared" si="2"/>
        <v>-2.3319172333459037E-2</v>
      </c>
      <c r="N8" s="200">
        <f t="shared" si="2"/>
        <v>1.1964351141515173E-2</v>
      </c>
      <c r="O8" s="200">
        <f t="shared" si="2"/>
        <v>3.251783695845889E-3</v>
      </c>
      <c r="P8" s="200">
        <f t="shared" si="2"/>
        <v>-2.3932763295352322E-3</v>
      </c>
      <c r="Q8" s="200"/>
    </row>
    <row r="10" spans="2:17" x14ac:dyDescent="0.35">
      <c r="B10" s="183" t="s">
        <v>1159</v>
      </c>
      <c r="C10" s="183">
        <v>2011</v>
      </c>
      <c r="D10" s="183" t="str">
        <f>'Bazis modell FES adatai'!C68</f>
        <v>Fegyveresek</v>
      </c>
      <c r="E10" s="3">
        <f>'Előrejelzési variáns'!C23</f>
        <v>104</v>
      </c>
      <c r="F10" s="3">
        <f>'Előrejelzési variáns'!D23</f>
        <v>0</v>
      </c>
      <c r="G10" s="3">
        <f>'Előrejelzési variáns'!E23</f>
        <v>11935</v>
      </c>
      <c r="H10" s="3">
        <f>'Előrejelzési variáns'!F23</f>
        <v>12039</v>
      </c>
      <c r="I10" s="3">
        <f t="shared" ref="I10:I20" si="3">E10</f>
        <v>104</v>
      </c>
      <c r="J10" s="3">
        <f t="shared" ref="J10:J20" si="4">F10</f>
        <v>0</v>
      </c>
      <c r="K10" s="3">
        <f t="shared" ref="K10:K20" si="5">G10</f>
        <v>11935</v>
      </c>
      <c r="L10" s="3">
        <f t="shared" ref="L10:L20" si="6">H10</f>
        <v>12039</v>
      </c>
      <c r="M10" s="3">
        <f t="shared" ref="M10:M29" si="7">E10-I10</f>
        <v>0</v>
      </c>
      <c r="N10" s="3">
        <f t="shared" ref="N10:N29" si="8">F10-J10</f>
        <v>0</v>
      </c>
      <c r="O10" s="3">
        <f t="shared" ref="O10:O29" si="9">G10-K10</f>
        <v>0</v>
      </c>
      <c r="P10" s="3">
        <f t="shared" ref="P10:P29" si="10">H10-L10</f>
        <v>0</v>
      </c>
      <c r="Q10" s="3"/>
    </row>
    <row r="11" spans="2:17" x14ac:dyDescent="0.35">
      <c r="D11" s="183" t="str">
        <f>'Bazis modell FES adatai'!C69</f>
        <v>Vezetők</v>
      </c>
      <c r="E11" s="3">
        <f>'Előrejelzési variáns'!C24</f>
        <v>34662</v>
      </c>
      <c r="F11" s="3">
        <f>'Előrejelzési variáns'!D24</f>
        <v>86757</v>
      </c>
      <c r="G11" s="3">
        <f>'Előrejelzési variáns'!E24</f>
        <v>93076</v>
      </c>
      <c r="H11" s="3">
        <f>'Előrejelzési variáns'!F24</f>
        <v>214495</v>
      </c>
      <c r="I11" s="3">
        <f t="shared" si="3"/>
        <v>34662</v>
      </c>
      <c r="J11" s="3">
        <f t="shared" si="4"/>
        <v>86757</v>
      </c>
      <c r="K11" s="3">
        <f t="shared" si="5"/>
        <v>93076</v>
      </c>
      <c r="L11" s="3">
        <f t="shared" si="6"/>
        <v>214495</v>
      </c>
      <c r="M11" s="3">
        <f t="shared" si="7"/>
        <v>0</v>
      </c>
      <c r="N11" s="3">
        <f t="shared" si="8"/>
        <v>0</v>
      </c>
      <c r="O11" s="3">
        <f t="shared" si="9"/>
        <v>0</v>
      </c>
      <c r="P11" s="3">
        <f t="shared" si="10"/>
        <v>0</v>
      </c>
      <c r="Q11" s="3"/>
    </row>
    <row r="12" spans="2:17" x14ac:dyDescent="0.35">
      <c r="D12" s="183" t="str">
        <f>'Bazis modell FES adatai'!C70</f>
        <v>Felsőfokúak</v>
      </c>
      <c r="E12" s="3">
        <f>'Előrejelzési variáns'!C25</f>
        <v>103126</v>
      </c>
      <c r="F12" s="3">
        <f>'Előrejelzési variáns'!D25</f>
        <v>131446</v>
      </c>
      <c r="G12" s="3">
        <f>'Előrejelzési variáns'!E25</f>
        <v>361309</v>
      </c>
      <c r="H12" s="3">
        <f>'Előrejelzési variáns'!F25</f>
        <v>595881</v>
      </c>
      <c r="I12" s="3">
        <f t="shared" si="3"/>
        <v>103126</v>
      </c>
      <c r="J12" s="3">
        <f t="shared" si="4"/>
        <v>131446</v>
      </c>
      <c r="K12" s="3">
        <f t="shared" si="5"/>
        <v>361309</v>
      </c>
      <c r="L12" s="3">
        <f t="shared" si="6"/>
        <v>595881</v>
      </c>
      <c r="M12" s="3">
        <f t="shared" si="7"/>
        <v>0</v>
      </c>
      <c r="N12" s="3">
        <f t="shared" si="8"/>
        <v>0</v>
      </c>
      <c r="O12" s="3">
        <f t="shared" si="9"/>
        <v>0</v>
      </c>
      <c r="P12" s="3">
        <f t="shared" si="10"/>
        <v>0</v>
      </c>
      <c r="Q12" s="3"/>
    </row>
    <row r="13" spans="2:17" x14ac:dyDescent="0.35">
      <c r="D13" s="183" t="str">
        <f>'Bazis modell FES adatai'!C71</f>
        <v>Egyéb felső</v>
      </c>
      <c r="E13" s="3">
        <f>'Előrejelzési variáns'!C26</f>
        <v>108174</v>
      </c>
      <c r="F13" s="3">
        <f>'Előrejelzési variáns'!D26</f>
        <v>196489</v>
      </c>
      <c r="G13" s="3">
        <f>'Előrejelzési variáns'!E26</f>
        <v>253712</v>
      </c>
      <c r="H13" s="3">
        <f>'Előrejelzési variáns'!F26</f>
        <v>558375</v>
      </c>
      <c r="I13" s="3">
        <f t="shared" si="3"/>
        <v>108174</v>
      </c>
      <c r="J13" s="3">
        <f t="shared" si="4"/>
        <v>196489</v>
      </c>
      <c r="K13" s="3">
        <f t="shared" si="5"/>
        <v>253712</v>
      </c>
      <c r="L13" s="3">
        <f t="shared" si="6"/>
        <v>558375</v>
      </c>
      <c r="M13" s="3">
        <f t="shared" si="7"/>
        <v>0</v>
      </c>
      <c r="N13" s="3">
        <f t="shared" si="8"/>
        <v>0</v>
      </c>
      <c r="O13" s="3">
        <f t="shared" si="9"/>
        <v>0</v>
      </c>
      <c r="P13" s="3">
        <f t="shared" si="10"/>
        <v>0</v>
      </c>
      <c r="Q13" s="3"/>
    </row>
    <row r="14" spans="2:17" x14ac:dyDescent="0.35">
      <c r="D14" s="183" t="str">
        <f>'Bazis modell FES adatai'!C72</f>
        <v>Iroda-ügyvitel</v>
      </c>
      <c r="E14" s="3">
        <f>'Előrejelzési variáns'!C27</f>
        <v>94694</v>
      </c>
      <c r="F14" s="3">
        <f>'Előrejelzési variáns'!D27</f>
        <v>87414</v>
      </c>
      <c r="G14" s="3">
        <f>'Előrejelzési variáns'!E27</f>
        <v>86374</v>
      </c>
      <c r="H14" s="3">
        <f>'Előrejelzési variáns'!F27</f>
        <v>268482</v>
      </c>
      <c r="I14" s="3">
        <f t="shared" si="3"/>
        <v>94694</v>
      </c>
      <c r="J14" s="3">
        <f t="shared" si="4"/>
        <v>87414</v>
      </c>
      <c r="K14" s="3">
        <f t="shared" si="5"/>
        <v>86374</v>
      </c>
      <c r="L14" s="3">
        <f t="shared" si="6"/>
        <v>268482</v>
      </c>
      <c r="M14" s="3">
        <f t="shared" si="7"/>
        <v>0</v>
      </c>
      <c r="N14" s="3">
        <f t="shared" si="8"/>
        <v>0</v>
      </c>
      <c r="O14" s="3">
        <f t="shared" si="9"/>
        <v>0</v>
      </c>
      <c r="P14" s="3">
        <f t="shared" si="10"/>
        <v>0</v>
      </c>
      <c r="Q14" s="3"/>
    </row>
    <row r="15" spans="2:17" x14ac:dyDescent="0.35">
      <c r="D15" s="183" t="str">
        <f>'Bazis modell FES adatai'!C73</f>
        <v>Ker-szolg</v>
      </c>
      <c r="E15" s="3">
        <f>'Előrejelzési variáns'!C28</f>
        <v>37886</v>
      </c>
      <c r="F15" s="3">
        <f>'Előrejelzési variáns'!D28</f>
        <v>65243</v>
      </c>
      <c r="G15" s="3">
        <f>'Előrejelzési variáns'!E28</f>
        <v>453921</v>
      </c>
      <c r="H15" s="3">
        <f>'Előrejelzési variáns'!F28</f>
        <v>557050</v>
      </c>
      <c r="I15" s="3">
        <f t="shared" si="3"/>
        <v>37886</v>
      </c>
      <c r="J15" s="3">
        <f t="shared" si="4"/>
        <v>65243</v>
      </c>
      <c r="K15" s="3">
        <f t="shared" si="5"/>
        <v>453921</v>
      </c>
      <c r="L15" s="3">
        <f t="shared" si="6"/>
        <v>557050</v>
      </c>
      <c r="M15" s="3">
        <f t="shared" si="7"/>
        <v>0</v>
      </c>
      <c r="N15" s="3">
        <f t="shared" si="8"/>
        <v>0</v>
      </c>
      <c r="O15" s="3">
        <f t="shared" si="9"/>
        <v>0</v>
      </c>
      <c r="P15" s="3">
        <f t="shared" si="10"/>
        <v>0</v>
      </c>
      <c r="Q15" s="3"/>
    </row>
    <row r="16" spans="2:17" x14ac:dyDescent="0.35">
      <c r="D16" s="183" t="str">
        <f>'Bazis modell FES adatai'!C74</f>
        <v>Mező-erdő</v>
      </c>
      <c r="E16" s="3">
        <f>'Előrejelzési variáns'!C29</f>
        <v>84884</v>
      </c>
      <c r="F16" s="3">
        <f>'Előrejelzési variáns'!D29</f>
        <v>11946</v>
      </c>
      <c r="G16" s="3">
        <f>'Előrejelzési variáns'!E29</f>
        <v>4799</v>
      </c>
      <c r="H16" s="3">
        <f>'Előrejelzési variáns'!F29</f>
        <v>101629</v>
      </c>
      <c r="I16" s="3">
        <f t="shared" si="3"/>
        <v>84884</v>
      </c>
      <c r="J16" s="3">
        <f t="shared" si="4"/>
        <v>11946</v>
      </c>
      <c r="K16" s="3">
        <f t="shared" si="5"/>
        <v>4799</v>
      </c>
      <c r="L16" s="3">
        <f t="shared" si="6"/>
        <v>101629</v>
      </c>
      <c r="M16" s="3">
        <f t="shared" si="7"/>
        <v>0</v>
      </c>
      <c r="N16" s="3">
        <f t="shared" si="8"/>
        <v>0</v>
      </c>
      <c r="O16" s="3">
        <f t="shared" si="9"/>
        <v>0</v>
      </c>
      <c r="P16" s="3">
        <f t="shared" si="10"/>
        <v>0</v>
      </c>
      <c r="Q16" s="3"/>
    </row>
    <row r="17" spans="4:17" x14ac:dyDescent="0.35">
      <c r="D17" s="183" t="str">
        <f>'Bazis modell FES adatai'!C75</f>
        <v>ipar-épip.</v>
      </c>
      <c r="E17" s="3">
        <f>'Előrejelzési variáns'!C30</f>
        <v>39596</v>
      </c>
      <c r="F17" s="3">
        <f>'Előrejelzési variáns'!D30</f>
        <v>453326</v>
      </c>
      <c r="G17" s="3">
        <f>'Előrejelzési variáns'!E30</f>
        <v>38823</v>
      </c>
      <c r="H17" s="3">
        <f>'Előrejelzési variáns'!F30</f>
        <v>531745</v>
      </c>
      <c r="I17" s="3">
        <f t="shared" si="3"/>
        <v>39596</v>
      </c>
      <c r="J17" s="3">
        <f t="shared" si="4"/>
        <v>453326</v>
      </c>
      <c r="K17" s="3">
        <f t="shared" si="5"/>
        <v>38823</v>
      </c>
      <c r="L17" s="3">
        <f t="shared" si="6"/>
        <v>531745</v>
      </c>
      <c r="M17" s="3">
        <f t="shared" si="7"/>
        <v>0</v>
      </c>
      <c r="N17" s="3">
        <f t="shared" si="8"/>
        <v>0</v>
      </c>
      <c r="O17" s="3">
        <f t="shared" si="9"/>
        <v>0</v>
      </c>
      <c r="P17" s="3">
        <f t="shared" si="10"/>
        <v>0</v>
      </c>
      <c r="Q17" s="3"/>
    </row>
    <row r="18" spans="4:17" x14ac:dyDescent="0.35">
      <c r="D18" s="183" t="str">
        <f>'Bazis modell FES adatai'!C76</f>
        <v>Összeszerelők</v>
      </c>
      <c r="E18" s="3">
        <f>'Előrejelzési variáns'!C31</f>
        <v>49026</v>
      </c>
      <c r="F18" s="3">
        <f>'Előrejelzési variáns'!D31</f>
        <v>421335</v>
      </c>
      <c r="G18" s="3">
        <f>'Előrejelzési variáns'!E31</f>
        <v>28811</v>
      </c>
      <c r="H18" s="3">
        <f>'Előrejelzési variáns'!F31</f>
        <v>499172</v>
      </c>
      <c r="I18" s="3">
        <f t="shared" si="3"/>
        <v>49026</v>
      </c>
      <c r="J18" s="3">
        <f t="shared" si="4"/>
        <v>421335</v>
      </c>
      <c r="K18" s="3">
        <f t="shared" si="5"/>
        <v>28811</v>
      </c>
      <c r="L18" s="3">
        <f t="shared" si="6"/>
        <v>499172</v>
      </c>
      <c r="M18" s="3">
        <f t="shared" si="7"/>
        <v>0</v>
      </c>
      <c r="N18" s="3">
        <f t="shared" si="8"/>
        <v>0</v>
      </c>
      <c r="O18" s="3">
        <f t="shared" si="9"/>
        <v>0</v>
      </c>
      <c r="P18" s="3">
        <f t="shared" si="10"/>
        <v>0</v>
      </c>
      <c r="Q18" s="3"/>
    </row>
    <row r="19" spans="4:17" x14ac:dyDescent="0.35">
      <c r="D19" s="183" t="str">
        <f>'Bazis modell FES adatai'!C77</f>
        <v>szakképzetlen</v>
      </c>
      <c r="E19" s="3">
        <f>'Előrejelzési variáns'!C32</f>
        <v>55236</v>
      </c>
      <c r="F19" s="3">
        <f>'Előrejelzési variáns'!D32</f>
        <v>119751</v>
      </c>
      <c r="G19" s="3">
        <f>'Előrejelzési variáns'!E32</f>
        <v>128702</v>
      </c>
      <c r="H19" s="3">
        <f>'Előrejelzési variáns'!F32</f>
        <v>303689</v>
      </c>
      <c r="I19" s="3">
        <f t="shared" si="3"/>
        <v>55236</v>
      </c>
      <c r="J19" s="3">
        <f t="shared" si="4"/>
        <v>119751</v>
      </c>
      <c r="K19" s="3">
        <f t="shared" si="5"/>
        <v>128702</v>
      </c>
      <c r="L19" s="3">
        <f t="shared" si="6"/>
        <v>303689</v>
      </c>
      <c r="M19" s="3">
        <f t="shared" si="7"/>
        <v>0</v>
      </c>
      <c r="N19" s="3">
        <f t="shared" si="8"/>
        <v>0</v>
      </c>
      <c r="O19" s="3">
        <f t="shared" si="9"/>
        <v>0</v>
      </c>
      <c r="P19" s="3">
        <f t="shared" si="10"/>
        <v>0</v>
      </c>
      <c r="Q19" s="3"/>
    </row>
    <row r="20" spans="4:17" x14ac:dyDescent="0.35">
      <c r="D20" s="183" t="str">
        <f>'Bazis modell FES adatai'!C78</f>
        <v>összesen</v>
      </c>
      <c r="E20" s="3">
        <f>'Előrejelzési variáns'!C33</f>
        <v>607388</v>
      </c>
      <c r="F20" s="3">
        <f>'Előrejelzési variáns'!D33</f>
        <v>1573707</v>
      </c>
      <c r="G20" s="3">
        <f>'Előrejelzési variáns'!E33</f>
        <v>1461462</v>
      </c>
      <c r="H20" s="3">
        <f>'Előrejelzési variáns'!F33</f>
        <v>3642557</v>
      </c>
      <c r="I20" s="3">
        <f t="shared" si="3"/>
        <v>607388</v>
      </c>
      <c r="J20" s="3">
        <f t="shared" si="4"/>
        <v>1573707</v>
      </c>
      <c r="K20" s="3">
        <f t="shared" si="5"/>
        <v>1461462</v>
      </c>
      <c r="L20" s="3">
        <f t="shared" si="6"/>
        <v>3642557</v>
      </c>
      <c r="M20" s="3">
        <f t="shared" si="7"/>
        <v>0</v>
      </c>
      <c r="N20" s="3">
        <f t="shared" si="8"/>
        <v>0</v>
      </c>
      <c r="O20" s="3">
        <f t="shared" si="9"/>
        <v>0</v>
      </c>
      <c r="P20" s="3">
        <f t="shared" si="10"/>
        <v>0</v>
      </c>
      <c r="Q20" s="3"/>
    </row>
    <row r="21" spans="4:17" x14ac:dyDescent="0.35">
      <c r="E21" s="3"/>
      <c r="F21" s="3"/>
      <c r="G21" s="3"/>
      <c r="H21" s="3"/>
      <c r="I21" s="3"/>
      <c r="J21" s="3"/>
      <c r="K21" s="3"/>
      <c r="L21" s="3"/>
      <c r="M21" s="3">
        <f t="shared" si="7"/>
        <v>0</v>
      </c>
      <c r="N21" s="3">
        <f t="shared" si="8"/>
        <v>0</v>
      </c>
      <c r="O21" s="3">
        <f t="shared" si="9"/>
        <v>0</v>
      </c>
      <c r="P21" s="3">
        <f t="shared" si="10"/>
        <v>0</v>
      </c>
      <c r="Q21" s="3"/>
    </row>
    <row r="22" spans="4:17" x14ac:dyDescent="0.35">
      <c r="D22" s="183" t="str">
        <f>'Bazis modell FES adatai'!C81</f>
        <v>0-7 osztály</v>
      </c>
      <c r="E22" s="3">
        <f>'Előrejelzési variáns'!C35</f>
        <v>2266</v>
      </c>
      <c r="F22" s="3">
        <f>'Előrejelzési variáns'!D35</f>
        <v>3763</v>
      </c>
      <c r="G22" s="3">
        <f>'Előrejelzési variáns'!E35</f>
        <v>1601</v>
      </c>
      <c r="H22" s="3">
        <f>'Előrejelzési variáns'!F35</f>
        <v>7630</v>
      </c>
      <c r="I22" s="3">
        <f t="shared" ref="I22:L29" si="11">E22</f>
        <v>2266</v>
      </c>
      <c r="J22" s="3">
        <f t="shared" si="11"/>
        <v>3763</v>
      </c>
      <c r="K22" s="3">
        <f t="shared" si="11"/>
        <v>1601</v>
      </c>
      <c r="L22" s="3">
        <f t="shared" si="11"/>
        <v>7630</v>
      </c>
      <c r="M22" s="3">
        <f t="shared" si="7"/>
        <v>0</v>
      </c>
      <c r="N22" s="3">
        <f t="shared" si="8"/>
        <v>0</v>
      </c>
      <c r="O22" s="3">
        <f t="shared" si="9"/>
        <v>0</v>
      </c>
      <c r="P22" s="3">
        <f t="shared" si="10"/>
        <v>0</v>
      </c>
      <c r="Q22" s="3"/>
    </row>
    <row r="23" spans="4:17" x14ac:dyDescent="0.35">
      <c r="D23" s="183" t="str">
        <f>'Bazis modell FES adatai'!C82</f>
        <v>8 osztály</v>
      </c>
      <c r="E23" s="3">
        <f>'Előrejelzési variáns'!C36</f>
        <v>76738</v>
      </c>
      <c r="F23" s="3">
        <f>'Előrejelzési variáns'!D36</f>
        <v>198586</v>
      </c>
      <c r="G23" s="3">
        <f>'Előrejelzési variáns'!E36</f>
        <v>107797</v>
      </c>
      <c r="H23" s="3">
        <f>'Előrejelzési variáns'!F36</f>
        <v>383121</v>
      </c>
      <c r="I23" s="3">
        <f t="shared" si="11"/>
        <v>76738</v>
      </c>
      <c r="J23" s="3">
        <f t="shared" si="11"/>
        <v>198586</v>
      </c>
      <c r="K23" s="3">
        <f t="shared" si="11"/>
        <v>107797</v>
      </c>
      <c r="L23" s="3">
        <f t="shared" si="11"/>
        <v>383121</v>
      </c>
      <c r="M23" s="3">
        <f t="shared" si="7"/>
        <v>0</v>
      </c>
      <c r="N23" s="3">
        <f t="shared" si="8"/>
        <v>0</v>
      </c>
      <c r="O23" s="3">
        <f t="shared" si="9"/>
        <v>0</v>
      </c>
      <c r="P23" s="3">
        <f t="shared" si="10"/>
        <v>0</v>
      </c>
      <c r="Q23" s="3"/>
    </row>
    <row r="24" spans="4:17" x14ac:dyDescent="0.35">
      <c r="D24" s="183" t="str">
        <f>'Bazis modell FES adatai'!C83</f>
        <v>szakiskola</v>
      </c>
      <c r="E24" s="3">
        <f>'Előrejelzési variáns'!C37</f>
        <v>140433</v>
      </c>
      <c r="F24" s="3">
        <f>'Előrejelzési variáns'!D37</f>
        <v>608728</v>
      </c>
      <c r="G24" s="3">
        <f>'Előrejelzési variáns'!E37</f>
        <v>306667</v>
      </c>
      <c r="H24" s="3">
        <f>'Előrejelzési variáns'!F37</f>
        <v>1055828</v>
      </c>
      <c r="I24" s="3">
        <f t="shared" si="11"/>
        <v>140433</v>
      </c>
      <c r="J24" s="3">
        <f t="shared" si="11"/>
        <v>608728</v>
      </c>
      <c r="K24" s="3">
        <f t="shared" si="11"/>
        <v>306667</v>
      </c>
      <c r="L24" s="3">
        <f t="shared" si="11"/>
        <v>1055828</v>
      </c>
      <c r="M24" s="3">
        <f t="shared" si="7"/>
        <v>0</v>
      </c>
      <c r="N24" s="3">
        <f t="shared" si="8"/>
        <v>0</v>
      </c>
      <c r="O24" s="3">
        <f t="shared" si="9"/>
        <v>0</v>
      </c>
      <c r="P24" s="3">
        <f t="shared" si="10"/>
        <v>0</v>
      </c>
      <c r="Q24" s="3"/>
    </row>
    <row r="25" spans="4:17" x14ac:dyDescent="0.35">
      <c r="D25" s="183" t="str">
        <f>'Bazis modell FES adatai'!C84</f>
        <v>Gimnázium</v>
      </c>
      <c r="E25" s="3">
        <f>'Előrejelzési variáns'!C38</f>
        <v>58085</v>
      </c>
      <c r="F25" s="3">
        <f>'Előrejelzési variáns'!D38</f>
        <v>117874</v>
      </c>
      <c r="G25" s="3">
        <f>'Előrejelzési variáns'!E38</f>
        <v>154568</v>
      </c>
      <c r="H25" s="3">
        <f>'Előrejelzési variáns'!F38</f>
        <v>330527</v>
      </c>
      <c r="I25" s="3">
        <f t="shared" si="11"/>
        <v>58085</v>
      </c>
      <c r="J25" s="3">
        <f t="shared" si="11"/>
        <v>117874</v>
      </c>
      <c r="K25" s="3">
        <f t="shared" si="11"/>
        <v>154568</v>
      </c>
      <c r="L25" s="3">
        <f t="shared" si="11"/>
        <v>330527</v>
      </c>
      <c r="M25" s="3">
        <f t="shared" si="7"/>
        <v>0</v>
      </c>
      <c r="N25" s="3">
        <f t="shared" si="8"/>
        <v>0</v>
      </c>
      <c r="O25" s="3">
        <f t="shared" si="9"/>
        <v>0</v>
      </c>
      <c r="P25" s="3">
        <f t="shared" si="10"/>
        <v>0</v>
      </c>
      <c r="Q25" s="3"/>
    </row>
    <row r="26" spans="4:17" x14ac:dyDescent="0.35">
      <c r="D26" s="183" t="str">
        <f>'Bazis modell FES adatai'!C85</f>
        <v>Technikum</v>
      </c>
      <c r="E26" s="3">
        <f>'Előrejelzési variáns'!C39</f>
        <v>143226</v>
      </c>
      <c r="F26" s="3">
        <f>'Előrejelzési variáns'!D39</f>
        <v>387406</v>
      </c>
      <c r="G26" s="3">
        <f>'Előrejelzési variáns'!E39</f>
        <v>381006</v>
      </c>
      <c r="H26" s="3">
        <f>'Előrejelzési variáns'!F39</f>
        <v>911638</v>
      </c>
      <c r="I26" s="3">
        <f t="shared" si="11"/>
        <v>143226</v>
      </c>
      <c r="J26" s="3">
        <f t="shared" si="11"/>
        <v>387406</v>
      </c>
      <c r="K26" s="3">
        <f t="shared" si="11"/>
        <v>381006</v>
      </c>
      <c r="L26" s="3">
        <f t="shared" si="11"/>
        <v>911638</v>
      </c>
      <c r="M26" s="3">
        <f t="shared" si="7"/>
        <v>0</v>
      </c>
      <c r="N26" s="3">
        <f t="shared" si="8"/>
        <v>0</v>
      </c>
      <c r="O26" s="3">
        <f t="shared" si="9"/>
        <v>0</v>
      </c>
      <c r="P26" s="3">
        <f t="shared" si="10"/>
        <v>0</v>
      </c>
      <c r="Q26" s="3"/>
    </row>
    <row r="27" spans="4:17" x14ac:dyDescent="0.35">
      <c r="D27" s="183" t="str">
        <f>'Bazis modell FES adatai'!C86</f>
        <v>Főiskola</v>
      </c>
      <c r="E27" s="3">
        <f>'Előrejelzési variáns'!C40</f>
        <v>98060</v>
      </c>
      <c r="F27" s="3">
        <f>'Előrejelzési variáns'!D40</f>
        <v>156438</v>
      </c>
      <c r="G27" s="3">
        <f>'Előrejelzési variáns'!E40</f>
        <v>313223</v>
      </c>
      <c r="H27" s="3">
        <f>'Előrejelzési variáns'!F40</f>
        <v>567721</v>
      </c>
      <c r="I27" s="3">
        <f t="shared" si="11"/>
        <v>98060</v>
      </c>
      <c r="J27" s="3">
        <f t="shared" si="11"/>
        <v>156438</v>
      </c>
      <c r="K27" s="3">
        <f t="shared" si="11"/>
        <v>313223</v>
      </c>
      <c r="L27" s="3">
        <f t="shared" si="11"/>
        <v>567721</v>
      </c>
      <c r="M27" s="3">
        <f t="shared" si="7"/>
        <v>0</v>
      </c>
      <c r="N27" s="3">
        <f t="shared" si="8"/>
        <v>0</v>
      </c>
      <c r="O27" s="3">
        <f t="shared" si="9"/>
        <v>0</v>
      </c>
      <c r="P27" s="3">
        <f t="shared" si="10"/>
        <v>0</v>
      </c>
      <c r="Q27" s="3"/>
    </row>
    <row r="28" spans="4:17" x14ac:dyDescent="0.35">
      <c r="D28" s="183" t="str">
        <f>'Bazis modell FES adatai'!C87</f>
        <v>Egyetem</v>
      </c>
      <c r="E28" s="3">
        <f>'Előrejelzési variáns'!C41</f>
        <v>88580</v>
      </c>
      <c r="F28" s="3">
        <f>'Előrejelzési variáns'!D41</f>
        <v>100912</v>
      </c>
      <c r="G28" s="3">
        <f>'Előrejelzési variáns'!E41</f>
        <v>196600</v>
      </c>
      <c r="H28" s="3">
        <f>'Előrejelzési variáns'!F41</f>
        <v>386092</v>
      </c>
      <c r="I28" s="3">
        <f t="shared" si="11"/>
        <v>88580</v>
      </c>
      <c r="J28" s="3">
        <f t="shared" si="11"/>
        <v>100912</v>
      </c>
      <c r="K28" s="3">
        <f t="shared" si="11"/>
        <v>196600</v>
      </c>
      <c r="L28" s="3">
        <f t="shared" si="11"/>
        <v>386092</v>
      </c>
      <c r="M28" s="3">
        <f t="shared" si="7"/>
        <v>0</v>
      </c>
      <c r="N28" s="3">
        <f t="shared" si="8"/>
        <v>0</v>
      </c>
      <c r="O28" s="3">
        <f t="shared" si="9"/>
        <v>0</v>
      </c>
      <c r="P28" s="3">
        <f t="shared" si="10"/>
        <v>0</v>
      </c>
      <c r="Q28" s="3"/>
    </row>
    <row r="29" spans="4:17" x14ac:dyDescent="0.35">
      <c r="D29" s="183" t="str">
        <f>'Bazis modell FES adatai'!C88</f>
        <v>Összesen</v>
      </c>
      <c r="E29" s="3">
        <f>'Előrejelzési variáns'!C42</f>
        <v>607388</v>
      </c>
      <c r="F29" s="3">
        <f>'Előrejelzési variáns'!D42</f>
        <v>1573707</v>
      </c>
      <c r="G29" s="3">
        <f>'Előrejelzési variáns'!E42</f>
        <v>1461462</v>
      </c>
      <c r="H29" s="3">
        <f>'Előrejelzési variáns'!F42</f>
        <v>3642557</v>
      </c>
      <c r="I29" s="3">
        <f t="shared" si="11"/>
        <v>607388</v>
      </c>
      <c r="J29" s="3">
        <f t="shared" si="11"/>
        <v>1573707</v>
      </c>
      <c r="K29" s="3">
        <f t="shared" si="11"/>
        <v>1461462</v>
      </c>
      <c r="L29" s="3">
        <f t="shared" si="11"/>
        <v>3642557</v>
      </c>
      <c r="M29" s="3">
        <f t="shared" si="7"/>
        <v>0</v>
      </c>
      <c r="N29" s="3">
        <f t="shared" si="8"/>
        <v>0</v>
      </c>
      <c r="O29" s="3">
        <f t="shared" si="9"/>
        <v>0</v>
      </c>
      <c r="P29" s="3">
        <f t="shared" si="10"/>
        <v>0</v>
      </c>
      <c r="Q29" s="3"/>
    </row>
    <row r="30" spans="4:17" x14ac:dyDescent="0.35"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</row>
    <row r="31" spans="4:17" x14ac:dyDescent="0.35">
      <c r="D31" s="183" t="s">
        <v>1183</v>
      </c>
      <c r="E31" s="3">
        <f>E11+E12+E13</f>
        <v>245962</v>
      </c>
      <c r="F31" s="3">
        <f t="shared" ref="F31:L31" si="12">F11+F12+F13</f>
        <v>414692</v>
      </c>
      <c r="G31" s="3">
        <f t="shared" si="12"/>
        <v>708097</v>
      </c>
      <c r="H31" s="3">
        <f t="shared" si="12"/>
        <v>1368751</v>
      </c>
      <c r="I31" s="3">
        <f t="shared" si="12"/>
        <v>245962</v>
      </c>
      <c r="J31" s="3">
        <f t="shared" si="12"/>
        <v>414692</v>
      </c>
      <c r="K31" s="3">
        <f t="shared" si="12"/>
        <v>708097</v>
      </c>
      <c r="L31" s="3">
        <f t="shared" si="12"/>
        <v>1368751</v>
      </c>
      <c r="M31" s="3">
        <f>M27+M28</f>
        <v>0</v>
      </c>
      <c r="N31" s="3">
        <f>N27+N28</f>
        <v>0</v>
      </c>
      <c r="O31" s="3">
        <f>O27+O28</f>
        <v>0</v>
      </c>
      <c r="P31" s="3">
        <f>P27+P28</f>
        <v>0</v>
      </c>
      <c r="Q31" s="3"/>
    </row>
    <row r="32" spans="4:17" x14ac:dyDescent="0.35">
      <c r="D32" s="183" t="s">
        <v>1181</v>
      </c>
      <c r="E32" s="3">
        <f>E14+E15+E16+E17</f>
        <v>257060</v>
      </c>
      <c r="F32" s="3">
        <f t="shared" ref="F32:L32" si="13">F14+F15+F16+F17</f>
        <v>617929</v>
      </c>
      <c r="G32" s="3">
        <f t="shared" si="13"/>
        <v>583917</v>
      </c>
      <c r="H32" s="3">
        <f t="shared" si="13"/>
        <v>1458906</v>
      </c>
      <c r="I32" s="3">
        <f t="shared" si="13"/>
        <v>257060</v>
      </c>
      <c r="J32" s="3">
        <f t="shared" si="13"/>
        <v>617929</v>
      </c>
      <c r="K32" s="3">
        <f t="shared" si="13"/>
        <v>583917</v>
      </c>
      <c r="L32" s="3">
        <f t="shared" si="13"/>
        <v>1458906</v>
      </c>
      <c r="M32" s="3">
        <f>M24+M25+M26</f>
        <v>0</v>
      </c>
      <c r="N32" s="3">
        <f>N24+N25+N26</f>
        <v>0</v>
      </c>
      <c r="O32" s="3">
        <f>O24+O25+O26</f>
        <v>0</v>
      </c>
      <c r="P32" s="3">
        <f>P24+P25+P26</f>
        <v>0</v>
      </c>
      <c r="Q32" s="3"/>
    </row>
    <row r="33" spans="3:17" x14ac:dyDescent="0.35">
      <c r="D33" s="183" t="s">
        <v>1182</v>
      </c>
      <c r="E33" s="3">
        <f>E18+E19</f>
        <v>104262</v>
      </c>
      <c r="F33" s="3">
        <f t="shared" ref="F33:L33" si="14">F18+F19</f>
        <v>541086</v>
      </c>
      <c r="G33" s="3">
        <f t="shared" si="14"/>
        <v>157513</v>
      </c>
      <c r="H33" s="3">
        <f t="shared" si="14"/>
        <v>802861</v>
      </c>
      <c r="I33" s="3">
        <f t="shared" si="14"/>
        <v>104262</v>
      </c>
      <c r="J33" s="3">
        <f t="shared" si="14"/>
        <v>541086</v>
      </c>
      <c r="K33" s="3">
        <f t="shared" si="14"/>
        <v>157513</v>
      </c>
      <c r="L33" s="3">
        <f t="shared" si="14"/>
        <v>802861</v>
      </c>
      <c r="M33" s="3">
        <f>M22+M23</f>
        <v>0</v>
      </c>
      <c r="N33" s="3">
        <f>N22+N23</f>
        <v>0</v>
      </c>
      <c r="O33" s="3">
        <f>O22+O23</f>
        <v>0</v>
      </c>
      <c r="P33" s="3">
        <f>P22+P23</f>
        <v>0</v>
      </c>
      <c r="Q33" s="3"/>
    </row>
    <row r="35" spans="3:17" x14ac:dyDescent="0.35">
      <c r="C35" s="183">
        <v>2015</v>
      </c>
      <c r="D35" s="183" t="str">
        <f t="shared" ref="D35:D45" si="15">D10</f>
        <v>Fegyveresek</v>
      </c>
      <c r="E35" s="3">
        <f>'Előrejelzési variáns'!L23</f>
        <v>23</v>
      </c>
      <c r="F35" s="3">
        <f>'Előrejelzési variáns'!M23</f>
        <v>0</v>
      </c>
      <c r="G35" s="3">
        <f>'Előrejelzési variáns'!N23</f>
        <v>11193</v>
      </c>
      <c r="H35" s="3">
        <f>'Előrejelzési variáns'!O23</f>
        <v>11216</v>
      </c>
      <c r="I35" s="3">
        <f t="shared" ref="I35:I54" si="16">E35</f>
        <v>23</v>
      </c>
      <c r="J35" s="3">
        <f t="shared" ref="J35:J54" si="17">F35</f>
        <v>0</v>
      </c>
      <c r="K35" s="3">
        <f t="shared" ref="K35:K54" si="18">G35</f>
        <v>11193</v>
      </c>
      <c r="L35" s="3">
        <f t="shared" ref="L35:L54" si="19">H35</f>
        <v>11216</v>
      </c>
      <c r="M35" s="3">
        <f t="shared" ref="M35:M54" si="20">E35-I35</f>
        <v>0</v>
      </c>
      <c r="N35" s="3">
        <f t="shared" ref="N35:N54" si="21">F35-J35</f>
        <v>0</v>
      </c>
      <c r="O35" s="3">
        <f t="shared" ref="O35:O54" si="22">G35-K35</f>
        <v>0</v>
      </c>
      <c r="P35" s="3">
        <f t="shared" ref="P35:P54" si="23">H35-L35</f>
        <v>0</v>
      </c>
      <c r="Q35" s="3"/>
    </row>
    <row r="36" spans="3:17" x14ac:dyDescent="0.35">
      <c r="D36" s="183" t="str">
        <f t="shared" si="15"/>
        <v>Vezetők</v>
      </c>
      <c r="E36" s="3">
        <f>'Előrejelzési variáns'!L24</f>
        <v>32987</v>
      </c>
      <c r="F36" s="3">
        <f>'Előrejelzési variáns'!M24</f>
        <v>76216</v>
      </c>
      <c r="G36" s="3">
        <f>'Előrejelzési variáns'!N24</f>
        <v>87669</v>
      </c>
      <c r="H36" s="3">
        <f>'Előrejelzési variáns'!O24</f>
        <v>196872</v>
      </c>
      <c r="I36" s="3">
        <f t="shared" si="16"/>
        <v>32987</v>
      </c>
      <c r="J36" s="3">
        <f t="shared" si="17"/>
        <v>76216</v>
      </c>
      <c r="K36" s="3">
        <f t="shared" si="18"/>
        <v>87669</v>
      </c>
      <c r="L36" s="3">
        <f t="shared" si="19"/>
        <v>196872</v>
      </c>
      <c r="M36" s="3">
        <f t="shared" si="20"/>
        <v>0</v>
      </c>
      <c r="N36" s="3">
        <f t="shared" si="21"/>
        <v>0</v>
      </c>
      <c r="O36" s="3">
        <f t="shared" si="22"/>
        <v>0</v>
      </c>
      <c r="P36" s="3">
        <f t="shared" si="23"/>
        <v>0</v>
      </c>
      <c r="Q36" s="3"/>
    </row>
    <row r="37" spans="3:17" x14ac:dyDescent="0.35">
      <c r="D37" s="183" t="str">
        <f t="shared" si="15"/>
        <v>Felsőfokúak</v>
      </c>
      <c r="E37" s="3">
        <f>'Előrejelzési variáns'!L25</f>
        <v>110903</v>
      </c>
      <c r="F37" s="3">
        <f>'Előrejelzési variáns'!M25</f>
        <v>171774</v>
      </c>
      <c r="G37" s="3">
        <f>'Előrejelzési variáns'!N25</f>
        <v>378407</v>
      </c>
      <c r="H37" s="3">
        <f>'Előrejelzési variáns'!O25</f>
        <v>661084</v>
      </c>
      <c r="I37" s="3">
        <f t="shared" si="16"/>
        <v>110903</v>
      </c>
      <c r="J37" s="3">
        <f t="shared" si="17"/>
        <v>171774</v>
      </c>
      <c r="K37" s="3">
        <f t="shared" si="18"/>
        <v>378407</v>
      </c>
      <c r="L37" s="3">
        <f t="shared" si="19"/>
        <v>661084</v>
      </c>
      <c r="M37" s="3">
        <f t="shared" si="20"/>
        <v>0</v>
      </c>
      <c r="N37" s="3">
        <f t="shared" si="21"/>
        <v>0</v>
      </c>
      <c r="O37" s="3">
        <f t="shared" si="22"/>
        <v>0</v>
      </c>
      <c r="P37" s="3">
        <f t="shared" si="23"/>
        <v>0</v>
      </c>
      <c r="Q37" s="3"/>
    </row>
    <row r="38" spans="3:17" x14ac:dyDescent="0.35">
      <c r="D38" s="183" t="str">
        <f t="shared" si="15"/>
        <v>Egyéb felső</v>
      </c>
      <c r="E38" s="3">
        <f>'Előrejelzési variáns'!L26</f>
        <v>126244</v>
      </c>
      <c r="F38" s="3">
        <f>'Előrejelzési variáns'!M26</f>
        <v>219742</v>
      </c>
      <c r="G38" s="3">
        <f>'Előrejelzési variáns'!N26</f>
        <v>312727</v>
      </c>
      <c r="H38" s="3">
        <f>'Előrejelzési variáns'!O26</f>
        <v>658713</v>
      </c>
      <c r="I38" s="3">
        <f t="shared" si="16"/>
        <v>126244</v>
      </c>
      <c r="J38" s="3">
        <f t="shared" si="17"/>
        <v>219742</v>
      </c>
      <c r="K38" s="3">
        <f t="shared" si="18"/>
        <v>312727</v>
      </c>
      <c r="L38" s="3">
        <f t="shared" si="19"/>
        <v>658713</v>
      </c>
      <c r="M38" s="3">
        <f t="shared" si="20"/>
        <v>0</v>
      </c>
      <c r="N38" s="3">
        <f t="shared" si="21"/>
        <v>0</v>
      </c>
      <c r="O38" s="3">
        <f t="shared" si="22"/>
        <v>0</v>
      </c>
      <c r="P38" s="3">
        <f t="shared" si="23"/>
        <v>0</v>
      </c>
      <c r="Q38" s="3"/>
    </row>
    <row r="39" spans="3:17" x14ac:dyDescent="0.35">
      <c r="D39" s="183" t="str">
        <f t="shared" si="15"/>
        <v>Iroda-ügyvitel</v>
      </c>
      <c r="E39" s="3">
        <f>'Előrejelzési variáns'!L27</f>
        <v>95539</v>
      </c>
      <c r="F39" s="3">
        <f>'Előrejelzési variáns'!M27</f>
        <v>100905</v>
      </c>
      <c r="G39" s="3">
        <f>'Előrejelzési variáns'!N27</f>
        <v>85652</v>
      </c>
      <c r="H39" s="3">
        <f>'Előrejelzési variáns'!O27</f>
        <v>282096</v>
      </c>
      <c r="I39" s="3">
        <f t="shared" si="16"/>
        <v>95539</v>
      </c>
      <c r="J39" s="3">
        <f t="shared" si="17"/>
        <v>100905</v>
      </c>
      <c r="K39" s="3">
        <f t="shared" si="18"/>
        <v>85652</v>
      </c>
      <c r="L39" s="3">
        <f t="shared" si="19"/>
        <v>282096</v>
      </c>
      <c r="M39" s="3">
        <f t="shared" si="20"/>
        <v>0</v>
      </c>
      <c r="N39" s="3">
        <f t="shared" si="21"/>
        <v>0</v>
      </c>
      <c r="O39" s="3">
        <f t="shared" si="22"/>
        <v>0</v>
      </c>
      <c r="P39" s="3">
        <f t="shared" si="23"/>
        <v>0</v>
      </c>
      <c r="Q39" s="3"/>
    </row>
    <row r="40" spans="3:17" x14ac:dyDescent="0.35">
      <c r="D40" s="183" t="str">
        <f t="shared" si="15"/>
        <v>Ker-szolg</v>
      </c>
      <c r="E40" s="3">
        <f>'Előrejelzési variáns'!L28</f>
        <v>47934</v>
      </c>
      <c r="F40" s="3">
        <f>'Előrejelzési variáns'!M28</f>
        <v>62502</v>
      </c>
      <c r="G40" s="3">
        <f>'Előrejelzési variáns'!N28</f>
        <v>491371</v>
      </c>
      <c r="H40" s="3">
        <f>'Előrejelzési variáns'!O28</f>
        <v>601807</v>
      </c>
      <c r="I40" s="3">
        <f t="shared" si="16"/>
        <v>47934</v>
      </c>
      <c r="J40" s="3">
        <f t="shared" si="17"/>
        <v>62502</v>
      </c>
      <c r="K40" s="3">
        <f t="shared" si="18"/>
        <v>491371</v>
      </c>
      <c r="L40" s="3">
        <f t="shared" si="19"/>
        <v>601807</v>
      </c>
      <c r="M40" s="3">
        <f t="shared" si="20"/>
        <v>0</v>
      </c>
      <c r="N40" s="3">
        <f t="shared" si="21"/>
        <v>0</v>
      </c>
      <c r="O40" s="3">
        <f t="shared" si="22"/>
        <v>0</v>
      </c>
      <c r="P40" s="3">
        <f t="shared" si="23"/>
        <v>0</v>
      </c>
      <c r="Q40" s="3"/>
    </row>
    <row r="41" spans="3:17" x14ac:dyDescent="0.35">
      <c r="D41" s="183" t="str">
        <f t="shared" si="15"/>
        <v>Mező-erdő</v>
      </c>
      <c r="E41" s="3">
        <f>'Előrejelzési variáns'!L29</f>
        <v>87019</v>
      </c>
      <c r="F41" s="3">
        <f>'Előrejelzési variáns'!M29</f>
        <v>10354</v>
      </c>
      <c r="G41" s="3">
        <f>'Előrejelzési variáns'!N29</f>
        <v>4011</v>
      </c>
      <c r="H41" s="3">
        <f>'Előrejelzési variáns'!O29</f>
        <v>101384</v>
      </c>
      <c r="I41" s="3">
        <f t="shared" si="16"/>
        <v>87019</v>
      </c>
      <c r="J41" s="3">
        <f t="shared" si="17"/>
        <v>10354</v>
      </c>
      <c r="K41" s="3">
        <f t="shared" si="18"/>
        <v>4011</v>
      </c>
      <c r="L41" s="3">
        <f t="shared" si="19"/>
        <v>101384</v>
      </c>
      <c r="M41" s="3">
        <f t="shared" si="20"/>
        <v>0</v>
      </c>
      <c r="N41" s="3">
        <f t="shared" si="21"/>
        <v>0</v>
      </c>
      <c r="O41" s="3">
        <f t="shared" si="22"/>
        <v>0</v>
      </c>
      <c r="P41" s="3">
        <f t="shared" si="23"/>
        <v>0</v>
      </c>
      <c r="Q41" s="3"/>
    </row>
    <row r="42" spans="3:17" x14ac:dyDescent="0.35">
      <c r="D42" s="183" t="str">
        <f t="shared" si="15"/>
        <v>ipar-épip.</v>
      </c>
      <c r="E42" s="3">
        <f>'Előrejelzési variáns'!L30</f>
        <v>48881</v>
      </c>
      <c r="F42" s="3">
        <f>'Előrejelzési variáns'!M30</f>
        <v>452862</v>
      </c>
      <c r="G42" s="3">
        <f>'Előrejelzési variáns'!N30</f>
        <v>48575</v>
      </c>
      <c r="H42" s="3">
        <f>'Előrejelzési variáns'!O30</f>
        <v>550318</v>
      </c>
      <c r="I42" s="3">
        <f t="shared" si="16"/>
        <v>48881</v>
      </c>
      <c r="J42" s="3">
        <f t="shared" si="17"/>
        <v>452862</v>
      </c>
      <c r="K42" s="3">
        <f t="shared" si="18"/>
        <v>48575</v>
      </c>
      <c r="L42" s="3">
        <f t="shared" si="19"/>
        <v>550318</v>
      </c>
      <c r="M42" s="3">
        <f t="shared" si="20"/>
        <v>0</v>
      </c>
      <c r="N42" s="3">
        <f t="shared" si="21"/>
        <v>0</v>
      </c>
      <c r="O42" s="3">
        <f t="shared" si="22"/>
        <v>0</v>
      </c>
      <c r="P42" s="3">
        <f t="shared" si="23"/>
        <v>0</v>
      </c>
      <c r="Q42" s="3"/>
    </row>
    <row r="43" spans="3:17" x14ac:dyDescent="0.35">
      <c r="D43" s="183" t="str">
        <f t="shared" si="15"/>
        <v>Összeszerelők</v>
      </c>
      <c r="E43" s="3">
        <f>'Előrejelzési variáns'!L31</f>
        <v>65176</v>
      </c>
      <c r="F43" s="3">
        <f>'Előrejelzési variáns'!M31</f>
        <v>442993</v>
      </c>
      <c r="G43" s="3">
        <f>'Előrejelzési variáns'!N31</f>
        <v>23909</v>
      </c>
      <c r="H43" s="3">
        <f>'Előrejelzési variáns'!O31</f>
        <v>532078</v>
      </c>
      <c r="I43" s="3">
        <f t="shared" si="16"/>
        <v>65176</v>
      </c>
      <c r="J43" s="3">
        <f t="shared" si="17"/>
        <v>442993</v>
      </c>
      <c r="K43" s="3">
        <f t="shared" si="18"/>
        <v>23909</v>
      </c>
      <c r="L43" s="3">
        <f t="shared" si="19"/>
        <v>532078</v>
      </c>
      <c r="M43" s="3">
        <f t="shared" si="20"/>
        <v>0</v>
      </c>
      <c r="N43" s="3">
        <f t="shared" si="21"/>
        <v>0</v>
      </c>
      <c r="O43" s="3">
        <f t="shared" si="22"/>
        <v>0</v>
      </c>
      <c r="P43" s="3">
        <f t="shared" si="23"/>
        <v>0</v>
      </c>
      <c r="Q43" s="3"/>
    </row>
    <row r="44" spans="3:17" x14ac:dyDescent="0.35">
      <c r="D44" s="183" t="str">
        <f t="shared" si="15"/>
        <v>szakképzetlen</v>
      </c>
      <c r="E44" s="3">
        <f>'Előrejelzési variáns'!L32</f>
        <v>70254</v>
      </c>
      <c r="F44" s="3">
        <f>'Előrejelzési variáns'!M32</f>
        <v>108348</v>
      </c>
      <c r="G44" s="3">
        <f>'Előrejelzési variáns'!N32</f>
        <v>113554</v>
      </c>
      <c r="H44" s="3">
        <f>'Előrejelzési variáns'!O32</f>
        <v>292156</v>
      </c>
      <c r="I44" s="3">
        <f t="shared" si="16"/>
        <v>70254</v>
      </c>
      <c r="J44" s="3">
        <f t="shared" si="17"/>
        <v>108348</v>
      </c>
      <c r="K44" s="3">
        <f t="shared" si="18"/>
        <v>113554</v>
      </c>
      <c r="L44" s="3">
        <f t="shared" si="19"/>
        <v>292156</v>
      </c>
      <c r="M44" s="3">
        <f t="shared" si="20"/>
        <v>0</v>
      </c>
      <c r="N44" s="3">
        <f t="shared" si="21"/>
        <v>0</v>
      </c>
      <c r="O44" s="3">
        <f t="shared" si="22"/>
        <v>0</v>
      </c>
      <c r="P44" s="3">
        <f t="shared" si="23"/>
        <v>0</v>
      </c>
      <c r="Q44" s="3"/>
    </row>
    <row r="45" spans="3:17" x14ac:dyDescent="0.35">
      <c r="D45" s="183" t="str">
        <f t="shared" si="15"/>
        <v>összesen</v>
      </c>
      <c r="E45" s="3">
        <f>'Előrejelzési variáns'!L33</f>
        <v>684960</v>
      </c>
      <c r="F45" s="3">
        <f>'Előrejelzési variáns'!M33</f>
        <v>1645696</v>
      </c>
      <c r="G45" s="3">
        <f>'Előrejelzési variáns'!N33</f>
        <v>1557068</v>
      </c>
      <c r="H45" s="3">
        <f>'Előrejelzési variáns'!O33</f>
        <v>3887724</v>
      </c>
      <c r="I45" s="3">
        <f t="shared" si="16"/>
        <v>684960</v>
      </c>
      <c r="J45" s="3">
        <f t="shared" si="17"/>
        <v>1645696</v>
      </c>
      <c r="K45" s="3">
        <f t="shared" si="18"/>
        <v>1557068</v>
      </c>
      <c r="L45" s="3">
        <f t="shared" si="19"/>
        <v>3887724</v>
      </c>
      <c r="M45" s="3">
        <f t="shared" si="20"/>
        <v>0</v>
      </c>
      <c r="N45" s="3">
        <f t="shared" si="21"/>
        <v>0</v>
      </c>
      <c r="O45" s="3">
        <f t="shared" si="22"/>
        <v>0</v>
      </c>
      <c r="P45" s="3">
        <f t="shared" si="23"/>
        <v>0</v>
      </c>
      <c r="Q45" s="3"/>
    </row>
    <row r="46" spans="3:17" x14ac:dyDescent="0.35">
      <c r="E46" s="3"/>
      <c r="F46" s="3"/>
      <c r="G46" s="3"/>
      <c r="H46" s="3"/>
      <c r="I46" s="3">
        <f t="shared" si="16"/>
        <v>0</v>
      </c>
      <c r="J46" s="3">
        <f t="shared" si="17"/>
        <v>0</v>
      </c>
      <c r="K46" s="3">
        <f t="shared" si="18"/>
        <v>0</v>
      </c>
      <c r="L46" s="3">
        <f t="shared" si="19"/>
        <v>0</v>
      </c>
      <c r="M46" s="3">
        <f t="shared" si="20"/>
        <v>0</v>
      </c>
      <c r="N46" s="3">
        <f t="shared" si="21"/>
        <v>0</v>
      </c>
      <c r="O46" s="3">
        <f t="shared" si="22"/>
        <v>0</v>
      </c>
      <c r="P46" s="3">
        <f t="shared" si="23"/>
        <v>0</v>
      </c>
      <c r="Q46" s="3"/>
    </row>
    <row r="47" spans="3:17" x14ac:dyDescent="0.35">
      <c r="D47" s="183" t="str">
        <f t="shared" ref="D47:D54" si="24">D22</f>
        <v>0-7 osztály</v>
      </c>
      <c r="E47" s="3">
        <f>'Előrejelzési variáns'!L35</f>
        <v>3304</v>
      </c>
      <c r="F47" s="3">
        <f>'Előrejelzési variáns'!M35</f>
        <v>3104</v>
      </c>
      <c r="G47" s="3">
        <f>'Előrejelzési variáns'!N35</f>
        <v>1473</v>
      </c>
      <c r="H47" s="3">
        <f>'Előrejelzési variáns'!O35</f>
        <v>7881</v>
      </c>
      <c r="I47" s="3">
        <f t="shared" si="16"/>
        <v>3304</v>
      </c>
      <c r="J47" s="3">
        <f t="shared" si="17"/>
        <v>3104</v>
      </c>
      <c r="K47" s="3">
        <f t="shared" si="18"/>
        <v>1473</v>
      </c>
      <c r="L47" s="3">
        <f t="shared" si="19"/>
        <v>7881</v>
      </c>
      <c r="M47" s="3">
        <f t="shared" si="20"/>
        <v>0</v>
      </c>
      <c r="N47" s="3">
        <f t="shared" si="21"/>
        <v>0</v>
      </c>
      <c r="O47" s="3">
        <f t="shared" si="22"/>
        <v>0</v>
      </c>
      <c r="P47" s="3">
        <f t="shared" si="23"/>
        <v>0</v>
      </c>
      <c r="Q47" s="3"/>
    </row>
    <row r="48" spans="3:17" x14ac:dyDescent="0.35">
      <c r="D48" s="183" t="str">
        <f t="shared" si="24"/>
        <v>8 osztály</v>
      </c>
      <c r="E48" s="3">
        <f>'Előrejelzési variáns'!L36</f>
        <v>80963</v>
      </c>
      <c r="F48" s="3">
        <f>'Előrejelzési variáns'!M36</f>
        <v>193030</v>
      </c>
      <c r="G48" s="3">
        <f>'Előrejelzési variáns'!N36</f>
        <v>92082</v>
      </c>
      <c r="H48" s="3">
        <f>'Előrejelzési variáns'!O36</f>
        <v>366075</v>
      </c>
      <c r="I48" s="3">
        <f t="shared" si="16"/>
        <v>80963</v>
      </c>
      <c r="J48" s="3">
        <f t="shared" si="17"/>
        <v>193030</v>
      </c>
      <c r="K48" s="3">
        <f t="shared" si="18"/>
        <v>92082</v>
      </c>
      <c r="L48" s="3">
        <f t="shared" si="19"/>
        <v>366075</v>
      </c>
      <c r="M48" s="3">
        <f t="shared" si="20"/>
        <v>0</v>
      </c>
      <c r="N48" s="3">
        <f t="shared" si="21"/>
        <v>0</v>
      </c>
      <c r="O48" s="3">
        <f t="shared" si="22"/>
        <v>0</v>
      </c>
      <c r="P48" s="3">
        <f t="shared" si="23"/>
        <v>0</v>
      </c>
      <c r="Q48" s="3"/>
    </row>
    <row r="49" spans="3:17" x14ac:dyDescent="0.35">
      <c r="D49" s="183" t="str">
        <f t="shared" si="24"/>
        <v>szakiskola</v>
      </c>
      <c r="E49" s="3">
        <f>'Előrejelzési variáns'!L37</f>
        <v>158732</v>
      </c>
      <c r="F49" s="3">
        <f>'Előrejelzési variáns'!M37</f>
        <v>583903</v>
      </c>
      <c r="G49" s="3">
        <f>'Előrejelzési variáns'!N37</f>
        <v>297608</v>
      </c>
      <c r="H49" s="3">
        <f>'Előrejelzési variáns'!O37</f>
        <v>1040243</v>
      </c>
      <c r="I49" s="3">
        <f t="shared" si="16"/>
        <v>158732</v>
      </c>
      <c r="J49" s="3">
        <f t="shared" si="17"/>
        <v>583903</v>
      </c>
      <c r="K49" s="3">
        <f t="shared" si="18"/>
        <v>297608</v>
      </c>
      <c r="L49" s="3">
        <f t="shared" si="19"/>
        <v>1040243</v>
      </c>
      <c r="M49" s="3">
        <f t="shared" si="20"/>
        <v>0</v>
      </c>
      <c r="N49" s="3">
        <f t="shared" si="21"/>
        <v>0</v>
      </c>
      <c r="O49" s="3">
        <f t="shared" si="22"/>
        <v>0</v>
      </c>
      <c r="P49" s="3">
        <f t="shared" si="23"/>
        <v>0</v>
      </c>
      <c r="Q49" s="3"/>
    </row>
    <row r="50" spans="3:17" x14ac:dyDescent="0.35">
      <c r="D50" s="183" t="str">
        <f t="shared" si="24"/>
        <v>Gimnázium</v>
      </c>
      <c r="E50" s="3">
        <f>'Előrejelzési variáns'!L38</f>
        <v>79103</v>
      </c>
      <c r="F50" s="3">
        <f>'Előrejelzési variáns'!M38</f>
        <v>160920</v>
      </c>
      <c r="G50" s="3">
        <f>'Előrejelzési variáns'!N38</f>
        <v>205952</v>
      </c>
      <c r="H50" s="3">
        <f>'Előrejelzési variáns'!O38</f>
        <v>445975</v>
      </c>
      <c r="I50" s="3">
        <f t="shared" si="16"/>
        <v>79103</v>
      </c>
      <c r="J50" s="3">
        <f t="shared" si="17"/>
        <v>160920</v>
      </c>
      <c r="K50" s="3">
        <f t="shared" si="18"/>
        <v>205952</v>
      </c>
      <c r="L50" s="3">
        <f t="shared" si="19"/>
        <v>445975</v>
      </c>
      <c r="M50" s="3">
        <f t="shared" si="20"/>
        <v>0</v>
      </c>
      <c r="N50" s="3">
        <f t="shared" si="21"/>
        <v>0</v>
      </c>
      <c r="O50" s="3">
        <f t="shared" si="22"/>
        <v>0</v>
      </c>
      <c r="P50" s="3">
        <f t="shared" si="23"/>
        <v>0</v>
      </c>
      <c r="Q50" s="3"/>
    </row>
    <row r="51" spans="3:17" x14ac:dyDescent="0.35">
      <c r="D51" s="183" t="str">
        <f t="shared" si="24"/>
        <v>Technikum</v>
      </c>
      <c r="E51" s="3">
        <f>'Előrejelzési variáns'!L39</f>
        <v>142322</v>
      </c>
      <c r="F51" s="3">
        <f>'Előrejelzési variáns'!M39</f>
        <v>393523</v>
      </c>
      <c r="G51" s="3">
        <f>'Előrejelzési variáns'!N39</f>
        <v>377744</v>
      </c>
      <c r="H51" s="3">
        <f>'Előrejelzési variáns'!O39</f>
        <v>913589</v>
      </c>
      <c r="I51" s="3">
        <f t="shared" si="16"/>
        <v>142322</v>
      </c>
      <c r="J51" s="3">
        <f t="shared" si="17"/>
        <v>393523</v>
      </c>
      <c r="K51" s="3">
        <f t="shared" si="18"/>
        <v>377744</v>
      </c>
      <c r="L51" s="3">
        <f t="shared" si="19"/>
        <v>913589</v>
      </c>
      <c r="M51" s="3">
        <f t="shared" si="20"/>
        <v>0</v>
      </c>
      <c r="N51" s="3">
        <f t="shared" si="21"/>
        <v>0</v>
      </c>
      <c r="O51" s="3">
        <f t="shared" si="22"/>
        <v>0</v>
      </c>
      <c r="P51" s="3">
        <f t="shared" si="23"/>
        <v>0</v>
      </c>
      <c r="Q51" s="3"/>
    </row>
    <row r="52" spans="3:17" x14ac:dyDescent="0.35">
      <c r="D52" s="183" t="str">
        <f t="shared" si="24"/>
        <v>Főiskola</v>
      </c>
      <c r="E52" s="3">
        <f>'Előrejelzési variáns'!L40</f>
        <v>120001</v>
      </c>
      <c r="F52" s="3">
        <f>'Előrejelzési variáns'!M40</f>
        <v>171703</v>
      </c>
      <c r="G52" s="3">
        <f>'Előrejelzési variáns'!N40</f>
        <v>357753</v>
      </c>
      <c r="H52" s="3">
        <f>'Előrejelzési variáns'!O40</f>
        <v>649457</v>
      </c>
      <c r="I52" s="3">
        <f t="shared" si="16"/>
        <v>120001</v>
      </c>
      <c r="J52" s="3">
        <f t="shared" si="17"/>
        <v>171703</v>
      </c>
      <c r="K52" s="3">
        <f t="shared" si="18"/>
        <v>357753</v>
      </c>
      <c r="L52" s="3">
        <f t="shared" si="19"/>
        <v>649457</v>
      </c>
      <c r="M52" s="3">
        <f t="shared" si="20"/>
        <v>0</v>
      </c>
      <c r="N52" s="3">
        <f t="shared" si="21"/>
        <v>0</v>
      </c>
      <c r="O52" s="3">
        <f t="shared" si="22"/>
        <v>0</v>
      </c>
      <c r="P52" s="3">
        <f t="shared" si="23"/>
        <v>0</v>
      </c>
      <c r="Q52" s="3"/>
    </row>
    <row r="53" spans="3:17" x14ac:dyDescent="0.35">
      <c r="D53" s="183" t="str">
        <f t="shared" si="24"/>
        <v>Egyetem</v>
      </c>
      <c r="E53" s="3">
        <f>'Előrejelzési variáns'!L41</f>
        <v>100535</v>
      </c>
      <c r="F53" s="3">
        <f>'Előrejelzési variáns'!M41</f>
        <v>139513</v>
      </c>
      <c r="G53" s="3">
        <f>'Előrejelzési variáns'!N41</f>
        <v>224456</v>
      </c>
      <c r="H53" s="3">
        <f>'Előrejelzési variáns'!O41</f>
        <v>464504</v>
      </c>
      <c r="I53" s="3">
        <f t="shared" si="16"/>
        <v>100535</v>
      </c>
      <c r="J53" s="3">
        <f t="shared" si="17"/>
        <v>139513</v>
      </c>
      <c r="K53" s="3">
        <f t="shared" si="18"/>
        <v>224456</v>
      </c>
      <c r="L53" s="3">
        <f t="shared" si="19"/>
        <v>464504</v>
      </c>
      <c r="M53" s="3">
        <f t="shared" si="20"/>
        <v>0</v>
      </c>
      <c r="N53" s="3">
        <f t="shared" si="21"/>
        <v>0</v>
      </c>
      <c r="O53" s="3">
        <f t="shared" si="22"/>
        <v>0</v>
      </c>
      <c r="P53" s="3">
        <f t="shared" si="23"/>
        <v>0</v>
      </c>
      <c r="Q53" s="3"/>
    </row>
    <row r="54" spans="3:17" x14ac:dyDescent="0.35">
      <c r="D54" s="183" t="str">
        <f t="shared" si="24"/>
        <v>Összesen</v>
      </c>
      <c r="E54" s="3">
        <f>'Előrejelzési variáns'!L42</f>
        <v>684960</v>
      </c>
      <c r="F54" s="3">
        <f>'Előrejelzési variáns'!M42</f>
        <v>1645696</v>
      </c>
      <c r="G54" s="3">
        <f>'Előrejelzési variáns'!N42</f>
        <v>1557068</v>
      </c>
      <c r="H54" s="3">
        <f>'Előrejelzési variáns'!O42</f>
        <v>3887724</v>
      </c>
      <c r="I54" s="3">
        <f t="shared" si="16"/>
        <v>684960</v>
      </c>
      <c r="J54" s="3">
        <f t="shared" si="17"/>
        <v>1645696</v>
      </c>
      <c r="K54" s="3">
        <f t="shared" si="18"/>
        <v>1557068</v>
      </c>
      <c r="L54" s="3">
        <f t="shared" si="19"/>
        <v>3887724</v>
      </c>
      <c r="M54" s="3">
        <f t="shared" si="20"/>
        <v>0</v>
      </c>
      <c r="N54" s="3">
        <f t="shared" si="21"/>
        <v>0</v>
      </c>
      <c r="O54" s="3">
        <f t="shared" si="22"/>
        <v>0</v>
      </c>
      <c r="P54" s="3">
        <f t="shared" si="23"/>
        <v>0</v>
      </c>
      <c r="Q54" s="3"/>
    </row>
    <row r="55" spans="3:17" x14ac:dyDescent="0.35"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</row>
    <row r="56" spans="3:17" x14ac:dyDescent="0.35">
      <c r="D56" s="183" t="s">
        <v>1183</v>
      </c>
      <c r="E56" s="3">
        <f>E36+E37+E38</f>
        <v>270134</v>
      </c>
      <c r="F56" s="3">
        <f t="shared" ref="F56:L56" si="25">F36+F37+F38</f>
        <v>467732</v>
      </c>
      <c r="G56" s="3">
        <f t="shared" si="25"/>
        <v>778803</v>
      </c>
      <c r="H56" s="3">
        <f t="shared" si="25"/>
        <v>1516669</v>
      </c>
      <c r="I56" s="3">
        <f t="shared" si="25"/>
        <v>270134</v>
      </c>
      <c r="J56" s="3">
        <f t="shared" si="25"/>
        <v>467732</v>
      </c>
      <c r="K56" s="3">
        <f t="shared" si="25"/>
        <v>778803</v>
      </c>
      <c r="L56" s="3">
        <f t="shared" si="25"/>
        <v>1516669</v>
      </c>
      <c r="M56" s="3">
        <f>M52+M53</f>
        <v>0</v>
      </c>
      <c r="N56" s="3">
        <f>N52+N53</f>
        <v>0</v>
      </c>
      <c r="O56" s="3">
        <f>O52+O53</f>
        <v>0</v>
      </c>
      <c r="P56" s="3">
        <f>P52+P53</f>
        <v>0</v>
      </c>
      <c r="Q56" s="3"/>
    </row>
    <row r="57" spans="3:17" x14ac:dyDescent="0.35">
      <c r="D57" s="183" t="s">
        <v>1181</v>
      </c>
      <c r="E57" s="3">
        <f>E39+E40+E41+E42</f>
        <v>279373</v>
      </c>
      <c r="F57" s="3">
        <f t="shared" ref="F57:L57" si="26">F39+F40+F41+F42</f>
        <v>626623</v>
      </c>
      <c r="G57" s="3">
        <f t="shared" si="26"/>
        <v>629609</v>
      </c>
      <c r="H57" s="3">
        <f t="shared" si="26"/>
        <v>1535605</v>
      </c>
      <c r="I57" s="3">
        <f t="shared" si="26"/>
        <v>279373</v>
      </c>
      <c r="J57" s="3">
        <f t="shared" si="26"/>
        <v>626623</v>
      </c>
      <c r="K57" s="3">
        <f t="shared" si="26"/>
        <v>629609</v>
      </c>
      <c r="L57" s="3">
        <f t="shared" si="26"/>
        <v>1535605</v>
      </c>
      <c r="M57" s="3">
        <f>M49+M50+M51</f>
        <v>0</v>
      </c>
      <c r="N57" s="3">
        <f>N49+N50+N51</f>
        <v>0</v>
      </c>
      <c r="O57" s="3">
        <f>O49+O50+O51</f>
        <v>0</v>
      </c>
      <c r="P57" s="3">
        <f>P49+P50+P51</f>
        <v>0</v>
      </c>
      <c r="Q57" s="3"/>
    </row>
    <row r="58" spans="3:17" x14ac:dyDescent="0.35">
      <c r="D58" s="183" t="s">
        <v>1182</v>
      </c>
      <c r="E58" s="3">
        <f>E43+E44</f>
        <v>135430</v>
      </c>
      <c r="F58" s="3">
        <f t="shared" ref="F58:L58" si="27">F43+F44</f>
        <v>551341</v>
      </c>
      <c r="G58" s="3">
        <f t="shared" si="27"/>
        <v>137463</v>
      </c>
      <c r="H58" s="3">
        <f t="shared" si="27"/>
        <v>824234</v>
      </c>
      <c r="I58" s="3">
        <f t="shared" si="27"/>
        <v>135430</v>
      </c>
      <c r="J58" s="3">
        <f t="shared" si="27"/>
        <v>551341</v>
      </c>
      <c r="K58" s="3">
        <f t="shared" si="27"/>
        <v>137463</v>
      </c>
      <c r="L58" s="3">
        <f t="shared" si="27"/>
        <v>824234</v>
      </c>
      <c r="M58" s="3">
        <f>M47+M48</f>
        <v>0</v>
      </c>
      <c r="N58" s="3">
        <f>N47+N48</f>
        <v>0</v>
      </c>
      <c r="O58" s="3">
        <f>O47+O48</f>
        <v>0</v>
      </c>
      <c r="P58" s="3">
        <f>P47+P48</f>
        <v>0</v>
      </c>
      <c r="Q58" s="3"/>
    </row>
    <row r="60" spans="3:17" x14ac:dyDescent="0.35">
      <c r="C60" s="183">
        <v>2020</v>
      </c>
      <c r="D60" s="183" t="str">
        <f t="shared" ref="D60:D70" si="28">D35</f>
        <v>Fegyveresek</v>
      </c>
      <c r="E60" s="3">
        <f>'Előrejelzési variáns'!U23</f>
        <v>13.762361001857267</v>
      </c>
      <c r="F60" s="3">
        <f>'Előrejelzési variáns'!V23</f>
        <v>5.759781429855134</v>
      </c>
      <c r="G60" s="3">
        <f>'Előrejelzési variáns'!W23</f>
        <v>9838.2978883984433</v>
      </c>
      <c r="H60" s="3">
        <f>'Előrejelzési variáns'!X23</f>
        <v>9857.8200308301566</v>
      </c>
      <c r="I60" s="3">
        <f t="shared" ref="I60:I79" si="29">E60</f>
        <v>13.762361001857267</v>
      </c>
      <c r="J60" s="3">
        <f t="shared" ref="J60:J79" si="30">F60</f>
        <v>5.759781429855134</v>
      </c>
      <c r="K60" s="3">
        <f t="shared" ref="K60:K79" si="31">G60</f>
        <v>9838.2978883984433</v>
      </c>
      <c r="L60" s="3">
        <f t="shared" ref="L60:L79" si="32">H60</f>
        <v>9857.8200308301566</v>
      </c>
      <c r="M60" s="3">
        <f t="shared" ref="M60:M79" si="33">E60-I60</f>
        <v>0</v>
      </c>
      <c r="N60" s="3">
        <f t="shared" ref="N60:N79" si="34">F60-J60</f>
        <v>0</v>
      </c>
      <c r="O60" s="3">
        <f t="shared" ref="O60:O79" si="35">G60-K60</f>
        <v>0</v>
      </c>
      <c r="P60" s="3">
        <f t="shared" ref="P60:P79" si="36">H60-L60</f>
        <v>0</v>
      </c>
      <c r="Q60" s="3"/>
    </row>
    <row r="61" spans="3:17" x14ac:dyDescent="0.35">
      <c r="D61" s="183" t="str">
        <f t="shared" si="28"/>
        <v>Vezetők</v>
      </c>
      <c r="E61" s="3">
        <f>'Előrejelzési variáns'!U24</f>
        <v>31892.09635681233</v>
      </c>
      <c r="F61" s="3">
        <f>'Előrejelzési variáns'!V24</f>
        <v>78879.183018826108</v>
      </c>
      <c r="G61" s="3">
        <f>'Előrejelzési variáns'!W24</f>
        <v>83896.635099497638</v>
      </c>
      <c r="H61" s="3">
        <f>'Előrejelzési variáns'!X24</f>
        <v>194667.91447513609</v>
      </c>
      <c r="I61" s="3">
        <f t="shared" si="29"/>
        <v>31892.09635681233</v>
      </c>
      <c r="J61" s="3">
        <f t="shared" si="30"/>
        <v>78879.183018826108</v>
      </c>
      <c r="K61" s="3">
        <f t="shared" si="31"/>
        <v>83896.635099497638</v>
      </c>
      <c r="L61" s="3">
        <f t="shared" si="32"/>
        <v>194667.91447513609</v>
      </c>
      <c r="M61" s="3">
        <f t="shared" si="33"/>
        <v>0</v>
      </c>
      <c r="N61" s="3">
        <f t="shared" si="34"/>
        <v>0</v>
      </c>
      <c r="O61" s="3">
        <f t="shared" si="35"/>
        <v>0</v>
      </c>
      <c r="P61" s="3">
        <f t="shared" si="36"/>
        <v>0</v>
      </c>
      <c r="Q61" s="3"/>
    </row>
    <row r="62" spans="3:17" x14ac:dyDescent="0.35">
      <c r="D62" s="183" t="str">
        <f t="shared" si="28"/>
        <v>Felsőfokúak</v>
      </c>
      <c r="E62" s="3">
        <f>'Előrejelzési variáns'!U25</f>
        <v>105696.89741807801</v>
      </c>
      <c r="F62" s="3">
        <f>'Előrejelzési variáns'!V25</f>
        <v>211160.58551444864</v>
      </c>
      <c r="G62" s="3">
        <f>'Előrejelzési variáns'!W25</f>
        <v>384389.94515825371</v>
      </c>
      <c r="H62" s="3">
        <f>'Előrejelzési variáns'!X25</f>
        <v>701247.42809078027</v>
      </c>
      <c r="I62" s="3">
        <f t="shared" si="29"/>
        <v>105696.89741807801</v>
      </c>
      <c r="J62" s="3">
        <f t="shared" si="30"/>
        <v>211160.58551444864</v>
      </c>
      <c r="K62" s="3">
        <f t="shared" si="31"/>
        <v>384389.94515825371</v>
      </c>
      <c r="L62" s="3">
        <f t="shared" si="32"/>
        <v>701247.42809078027</v>
      </c>
      <c r="M62" s="3">
        <f t="shared" si="33"/>
        <v>0</v>
      </c>
      <c r="N62" s="3">
        <f t="shared" si="34"/>
        <v>0</v>
      </c>
      <c r="O62" s="3">
        <f t="shared" si="35"/>
        <v>0</v>
      </c>
      <c r="P62" s="3">
        <f t="shared" si="36"/>
        <v>0</v>
      </c>
      <c r="Q62" s="3"/>
    </row>
    <row r="63" spans="3:17" x14ac:dyDescent="0.35">
      <c r="D63" s="183" t="str">
        <f t="shared" si="28"/>
        <v>Egyéb felső</v>
      </c>
      <c r="E63" s="3">
        <f>'Előrejelzési variáns'!U26</f>
        <v>159374.9747175464</v>
      </c>
      <c r="F63" s="3">
        <f>'Előrejelzési variáns'!V26</f>
        <v>277831.10297218384</v>
      </c>
      <c r="G63" s="3">
        <f>'Előrejelzési variáns'!W26</f>
        <v>349354.8427515403</v>
      </c>
      <c r="H63" s="3">
        <f>'Előrejelzési variáns'!X26</f>
        <v>786560.92044127057</v>
      </c>
      <c r="I63" s="3">
        <f t="shared" si="29"/>
        <v>159374.9747175464</v>
      </c>
      <c r="J63" s="3">
        <f t="shared" si="30"/>
        <v>277831.10297218384</v>
      </c>
      <c r="K63" s="3">
        <f t="shared" si="31"/>
        <v>349354.8427515403</v>
      </c>
      <c r="L63" s="3">
        <f t="shared" si="32"/>
        <v>786560.92044127057</v>
      </c>
      <c r="M63" s="3">
        <f t="shared" si="33"/>
        <v>0</v>
      </c>
      <c r="N63" s="3">
        <f t="shared" si="34"/>
        <v>0</v>
      </c>
      <c r="O63" s="3">
        <f t="shared" si="35"/>
        <v>0</v>
      </c>
      <c r="P63" s="3">
        <f t="shared" si="36"/>
        <v>0</v>
      </c>
      <c r="Q63" s="3"/>
    </row>
    <row r="64" spans="3:17" x14ac:dyDescent="0.35">
      <c r="D64" s="183" t="str">
        <f t="shared" si="28"/>
        <v>Iroda-ügyvitel</v>
      </c>
      <c r="E64" s="3">
        <f>'Előrejelzési variáns'!U27</f>
        <v>105543.13266135129</v>
      </c>
      <c r="F64" s="3">
        <f>'Előrejelzési variáns'!V27</f>
        <v>114657.01954522534</v>
      </c>
      <c r="G64" s="3">
        <f>'Előrejelzési variáns'!W27</f>
        <v>94845.799463605566</v>
      </c>
      <c r="H64" s="3">
        <f>'Előrejelzési variáns'!X27</f>
        <v>315045.95167018217</v>
      </c>
      <c r="I64" s="3">
        <f t="shared" si="29"/>
        <v>105543.13266135129</v>
      </c>
      <c r="J64" s="3">
        <f t="shared" si="30"/>
        <v>114657.01954522534</v>
      </c>
      <c r="K64" s="3">
        <f t="shared" si="31"/>
        <v>94845.799463605566</v>
      </c>
      <c r="L64" s="3">
        <f t="shared" si="32"/>
        <v>315045.95167018217</v>
      </c>
      <c r="M64" s="3">
        <f t="shared" si="33"/>
        <v>0</v>
      </c>
      <c r="N64" s="3">
        <f t="shared" si="34"/>
        <v>0</v>
      </c>
      <c r="O64" s="3">
        <f t="shared" si="35"/>
        <v>0</v>
      </c>
      <c r="P64" s="3">
        <f t="shared" si="36"/>
        <v>0</v>
      </c>
      <c r="Q64" s="3"/>
    </row>
    <row r="65" spans="4:17" x14ac:dyDescent="0.35">
      <c r="D65" s="183" t="str">
        <f t="shared" si="28"/>
        <v>Ker-szolg</v>
      </c>
      <c r="E65" s="3">
        <f>'Előrejelzési variáns'!U28</f>
        <v>50765.082373874975</v>
      </c>
      <c r="F65" s="3">
        <f>'Előrejelzési variáns'!V28</f>
        <v>78394.21704674483</v>
      </c>
      <c r="G65" s="3">
        <f>'Előrejelzési variáns'!W28</f>
        <v>516946.50253117702</v>
      </c>
      <c r="H65" s="3">
        <f>'Előrejelzési variáns'!X28</f>
        <v>646105.80195179686</v>
      </c>
      <c r="I65" s="3">
        <f t="shared" si="29"/>
        <v>50765.082373874975</v>
      </c>
      <c r="J65" s="3">
        <f t="shared" si="30"/>
        <v>78394.21704674483</v>
      </c>
      <c r="K65" s="3">
        <f t="shared" si="31"/>
        <v>516946.50253117702</v>
      </c>
      <c r="L65" s="3">
        <f t="shared" si="32"/>
        <v>646105.80195179686</v>
      </c>
      <c r="M65" s="3">
        <f t="shared" si="33"/>
        <v>0</v>
      </c>
      <c r="N65" s="3">
        <f t="shared" si="34"/>
        <v>0</v>
      </c>
      <c r="O65" s="3">
        <f t="shared" si="35"/>
        <v>0</v>
      </c>
      <c r="P65" s="3">
        <f t="shared" si="36"/>
        <v>0</v>
      </c>
      <c r="Q65" s="3"/>
    </row>
    <row r="66" spans="4:17" x14ac:dyDescent="0.35">
      <c r="D66" s="183" t="str">
        <f t="shared" si="28"/>
        <v>Mező-erdő</v>
      </c>
      <c r="E66" s="3">
        <f>'Előrejelzési variáns'!U29</f>
        <v>113893.24674957919</v>
      </c>
      <c r="F66" s="3">
        <f>'Előrejelzési variáns'!V29</f>
        <v>12288.485930311301</v>
      </c>
      <c r="G66" s="3">
        <f>'Előrejelzési variáns'!W29</f>
        <v>3749.8686007979609</v>
      </c>
      <c r="H66" s="3">
        <f>'Előrejelzési variáns'!X29</f>
        <v>129931.60128068845</v>
      </c>
      <c r="I66" s="3">
        <f t="shared" si="29"/>
        <v>113893.24674957919</v>
      </c>
      <c r="J66" s="3">
        <f t="shared" si="30"/>
        <v>12288.485930311301</v>
      </c>
      <c r="K66" s="3">
        <f t="shared" si="31"/>
        <v>3749.8686007979609</v>
      </c>
      <c r="L66" s="3">
        <f t="shared" si="32"/>
        <v>129931.60128068845</v>
      </c>
      <c r="M66" s="3">
        <f t="shared" si="33"/>
        <v>0</v>
      </c>
      <c r="N66" s="3">
        <f t="shared" si="34"/>
        <v>0</v>
      </c>
      <c r="O66" s="3">
        <f t="shared" si="35"/>
        <v>0</v>
      </c>
      <c r="P66" s="3">
        <f t="shared" si="36"/>
        <v>0</v>
      </c>
      <c r="Q66" s="3"/>
    </row>
    <row r="67" spans="4:17" x14ac:dyDescent="0.35">
      <c r="D67" s="183" t="str">
        <f t="shared" si="28"/>
        <v>ipar-épip.</v>
      </c>
      <c r="E67" s="3">
        <f>'Előrejelzési variáns'!U30</f>
        <v>52686.367685721823</v>
      </c>
      <c r="F67" s="3">
        <f>'Előrejelzési variáns'!V30</f>
        <v>503933.70453906886</v>
      </c>
      <c r="G67" s="3">
        <f>'Előrejelzési variáns'!W30</f>
        <v>56287.299933933158</v>
      </c>
      <c r="H67" s="3">
        <f>'Előrejelzési variáns'!X30</f>
        <v>612907.37215872388</v>
      </c>
      <c r="I67" s="3">
        <f t="shared" si="29"/>
        <v>52686.367685721823</v>
      </c>
      <c r="J67" s="3">
        <f t="shared" si="30"/>
        <v>503933.70453906886</v>
      </c>
      <c r="K67" s="3">
        <f t="shared" si="31"/>
        <v>56287.299933933158</v>
      </c>
      <c r="L67" s="3">
        <f t="shared" si="32"/>
        <v>612907.37215872388</v>
      </c>
      <c r="M67" s="3">
        <f t="shared" si="33"/>
        <v>0</v>
      </c>
      <c r="N67" s="3">
        <f t="shared" si="34"/>
        <v>0</v>
      </c>
      <c r="O67" s="3">
        <f t="shared" si="35"/>
        <v>0</v>
      </c>
      <c r="P67" s="3">
        <f t="shared" si="36"/>
        <v>0</v>
      </c>
      <c r="Q67" s="3"/>
    </row>
    <row r="68" spans="4:17" x14ac:dyDescent="0.35">
      <c r="D68" s="183" t="str">
        <f t="shared" si="28"/>
        <v>Összeszerelők</v>
      </c>
      <c r="E68" s="3">
        <f>'Előrejelzési variáns'!U31</f>
        <v>76496.822205114862</v>
      </c>
      <c r="F68" s="3">
        <f>'Előrejelzési variáns'!V31</f>
        <v>585849.79813507758</v>
      </c>
      <c r="G68" s="3">
        <f>'Előrejelzési variáns'!W31</f>
        <v>25974.252211761392</v>
      </c>
      <c r="H68" s="3">
        <f>'Előrejelzési variáns'!X31</f>
        <v>688320.87255195389</v>
      </c>
      <c r="I68" s="3">
        <f t="shared" si="29"/>
        <v>76496.822205114862</v>
      </c>
      <c r="J68" s="3">
        <f t="shared" si="30"/>
        <v>585849.79813507758</v>
      </c>
      <c r="K68" s="3">
        <f t="shared" si="31"/>
        <v>25974.252211761392</v>
      </c>
      <c r="L68" s="3">
        <f t="shared" si="32"/>
        <v>688320.87255195389</v>
      </c>
      <c r="M68" s="3">
        <f t="shared" si="33"/>
        <v>0</v>
      </c>
      <c r="N68" s="3">
        <f t="shared" si="34"/>
        <v>0</v>
      </c>
      <c r="O68" s="3">
        <f t="shared" si="35"/>
        <v>0</v>
      </c>
      <c r="P68" s="3">
        <f t="shared" si="36"/>
        <v>0</v>
      </c>
      <c r="Q68" s="3"/>
    </row>
    <row r="69" spans="4:17" x14ac:dyDescent="0.35">
      <c r="D69" s="183" t="str">
        <f t="shared" si="28"/>
        <v>szakképzetlen</v>
      </c>
      <c r="E69" s="3">
        <f>'Előrejelzési variáns'!U32</f>
        <v>78912.933722523725</v>
      </c>
      <c r="F69" s="3">
        <f>'Előrejelzési variáns'!V32</f>
        <v>125102.36657355634</v>
      </c>
      <c r="G69" s="3">
        <f>'Előrejelzési variáns'!W32</f>
        <v>127935.28131791719</v>
      </c>
      <c r="H69" s="3">
        <f>'Előrejelzési variáns'!X32</f>
        <v>331950.58161399723</v>
      </c>
      <c r="I69" s="3">
        <f t="shared" si="29"/>
        <v>78912.933722523725</v>
      </c>
      <c r="J69" s="3">
        <f t="shared" si="30"/>
        <v>125102.36657355634</v>
      </c>
      <c r="K69" s="3">
        <f t="shared" si="31"/>
        <v>127935.28131791719</v>
      </c>
      <c r="L69" s="3">
        <f t="shared" si="32"/>
        <v>331950.58161399723</v>
      </c>
      <c r="M69" s="3">
        <f t="shared" si="33"/>
        <v>0</v>
      </c>
      <c r="N69" s="3">
        <f t="shared" si="34"/>
        <v>0</v>
      </c>
      <c r="O69" s="3">
        <f t="shared" si="35"/>
        <v>0</v>
      </c>
      <c r="P69" s="3">
        <f t="shared" si="36"/>
        <v>0</v>
      </c>
      <c r="Q69" s="3"/>
    </row>
    <row r="70" spans="4:17" x14ac:dyDescent="0.35">
      <c r="D70" s="183" t="str">
        <f t="shared" si="28"/>
        <v>összesen</v>
      </c>
      <c r="E70" s="3">
        <f>'Előrejelzési variáns'!U33</f>
        <v>775275.31625160447</v>
      </c>
      <c r="F70" s="3">
        <f>'Előrejelzési variáns'!V33</f>
        <v>1988102.2230568724</v>
      </c>
      <c r="G70" s="3">
        <f>'Előrejelzési variáns'!W33</f>
        <v>1653218.7249568827</v>
      </c>
      <c r="H70" s="3">
        <f>'Előrejelzési variáns'!X33</f>
        <v>4416596.2642653594</v>
      </c>
      <c r="I70" s="3">
        <f t="shared" si="29"/>
        <v>775275.31625160447</v>
      </c>
      <c r="J70" s="3">
        <f t="shared" si="30"/>
        <v>1988102.2230568724</v>
      </c>
      <c r="K70" s="3">
        <f t="shared" si="31"/>
        <v>1653218.7249568827</v>
      </c>
      <c r="L70" s="3">
        <f t="shared" si="32"/>
        <v>4416596.2642653594</v>
      </c>
      <c r="M70" s="3">
        <f t="shared" si="33"/>
        <v>0</v>
      </c>
      <c r="N70" s="3">
        <f t="shared" si="34"/>
        <v>0</v>
      </c>
      <c r="O70" s="3">
        <f t="shared" si="35"/>
        <v>0</v>
      </c>
      <c r="P70" s="3">
        <f t="shared" si="36"/>
        <v>0</v>
      </c>
      <c r="Q70" s="3"/>
    </row>
    <row r="71" spans="4:17" x14ac:dyDescent="0.35">
      <c r="E71" s="3"/>
      <c r="F71" s="3"/>
      <c r="G71" s="3"/>
      <c r="H71" s="3"/>
      <c r="I71" s="3">
        <f t="shared" si="29"/>
        <v>0</v>
      </c>
      <c r="J71" s="3">
        <f t="shared" si="30"/>
        <v>0</v>
      </c>
      <c r="K71" s="3">
        <f t="shared" si="31"/>
        <v>0</v>
      </c>
      <c r="L71" s="3">
        <f t="shared" si="32"/>
        <v>0</v>
      </c>
      <c r="M71" s="3">
        <f t="shared" si="33"/>
        <v>0</v>
      </c>
      <c r="N71" s="3">
        <f t="shared" si="34"/>
        <v>0</v>
      </c>
      <c r="O71" s="3">
        <f t="shared" si="35"/>
        <v>0</v>
      </c>
      <c r="P71" s="3">
        <f t="shared" si="36"/>
        <v>0</v>
      </c>
      <c r="Q71" s="3"/>
    </row>
    <row r="72" spans="4:17" x14ac:dyDescent="0.35">
      <c r="D72" s="183" t="str">
        <f t="shared" ref="D72:D79" si="37">D47</f>
        <v>0-7 osztály</v>
      </c>
      <c r="E72" s="3">
        <f>'Előrejelzési variáns'!U35</f>
        <v>3117.2570250471845</v>
      </c>
      <c r="F72" s="3">
        <f>'Előrejelzési variáns'!V35</f>
        <v>3088.9521763718144</v>
      </c>
      <c r="G72" s="3">
        <f>'Előrejelzési variáns'!W35</f>
        <v>3509.0622867335787</v>
      </c>
      <c r="H72" s="3">
        <f>'Előrejelzési variáns'!X35</f>
        <v>9715.2714881525771</v>
      </c>
      <c r="I72" s="3">
        <f t="shared" si="29"/>
        <v>3117.2570250471845</v>
      </c>
      <c r="J72" s="3">
        <f t="shared" si="30"/>
        <v>3088.9521763718144</v>
      </c>
      <c r="K72" s="3">
        <f t="shared" si="31"/>
        <v>3509.0622867335787</v>
      </c>
      <c r="L72" s="3">
        <f t="shared" si="32"/>
        <v>9715.2714881525771</v>
      </c>
      <c r="M72" s="3">
        <f t="shared" si="33"/>
        <v>0</v>
      </c>
      <c r="N72" s="3">
        <f t="shared" si="34"/>
        <v>0</v>
      </c>
      <c r="O72" s="3">
        <f t="shared" si="35"/>
        <v>0</v>
      </c>
      <c r="P72" s="3">
        <f t="shared" si="36"/>
        <v>0</v>
      </c>
      <c r="Q72" s="3"/>
    </row>
    <row r="73" spans="4:17" x14ac:dyDescent="0.35">
      <c r="D73" s="183" t="str">
        <f t="shared" si="37"/>
        <v>8 osztály</v>
      </c>
      <c r="E73" s="3">
        <f>'Előrejelzési variáns'!U36</f>
        <v>90729.840976061299</v>
      </c>
      <c r="F73" s="3">
        <f>'Előrejelzési variáns'!V36</f>
        <v>229110.90011619046</v>
      </c>
      <c r="G73" s="3">
        <f>'Előrejelzési variáns'!W36</f>
        <v>94127.81237446559</v>
      </c>
      <c r="H73" s="3">
        <f>'Előrejelzési variáns'!X36</f>
        <v>413968.55346671731</v>
      </c>
      <c r="I73" s="3">
        <f t="shared" si="29"/>
        <v>90729.840976061299</v>
      </c>
      <c r="J73" s="3">
        <f t="shared" si="30"/>
        <v>229110.90011619046</v>
      </c>
      <c r="K73" s="3">
        <f t="shared" si="31"/>
        <v>94127.81237446559</v>
      </c>
      <c r="L73" s="3">
        <f t="shared" si="32"/>
        <v>413968.55346671731</v>
      </c>
      <c r="M73" s="3">
        <f t="shared" si="33"/>
        <v>0</v>
      </c>
      <c r="N73" s="3">
        <f t="shared" si="34"/>
        <v>0</v>
      </c>
      <c r="O73" s="3">
        <f t="shared" si="35"/>
        <v>0</v>
      </c>
      <c r="P73" s="3">
        <f t="shared" si="36"/>
        <v>0</v>
      </c>
      <c r="Q73" s="3"/>
    </row>
    <row r="74" spans="4:17" x14ac:dyDescent="0.35">
      <c r="D74" s="183" t="str">
        <f t="shared" si="37"/>
        <v>szakiskola</v>
      </c>
      <c r="E74" s="3">
        <f>'Előrejelzési variáns'!U37</f>
        <v>170074.58575880781</v>
      </c>
      <c r="F74" s="3">
        <f>'Előrejelzési variáns'!V37</f>
        <v>693698.49709116691</v>
      </c>
      <c r="G74" s="3">
        <f>'Előrejelzési variáns'!W37</f>
        <v>304906.27552307013</v>
      </c>
      <c r="H74" s="3">
        <f>'Előrejelzési variáns'!X37</f>
        <v>1168679.358373045</v>
      </c>
      <c r="I74" s="3">
        <f t="shared" si="29"/>
        <v>170074.58575880781</v>
      </c>
      <c r="J74" s="3">
        <f t="shared" si="30"/>
        <v>693698.49709116691</v>
      </c>
      <c r="K74" s="3">
        <f t="shared" si="31"/>
        <v>304906.27552307013</v>
      </c>
      <c r="L74" s="3">
        <f t="shared" si="32"/>
        <v>1168679.358373045</v>
      </c>
      <c r="M74" s="3">
        <f t="shared" si="33"/>
        <v>0</v>
      </c>
      <c r="N74" s="3">
        <f t="shared" si="34"/>
        <v>0</v>
      </c>
      <c r="O74" s="3">
        <f t="shared" si="35"/>
        <v>0</v>
      </c>
      <c r="P74" s="3">
        <f t="shared" si="36"/>
        <v>0</v>
      </c>
      <c r="Q74" s="3"/>
    </row>
    <row r="75" spans="4:17" x14ac:dyDescent="0.35">
      <c r="D75" s="183" t="str">
        <f t="shared" si="37"/>
        <v>Gimnázium</v>
      </c>
      <c r="E75" s="3">
        <f>'Előrejelzési variáns'!U38</f>
        <v>119972.6792791625</v>
      </c>
      <c r="F75" s="3">
        <f>'Előrejelzési variáns'!V38</f>
        <v>248037.64151760269</v>
      </c>
      <c r="G75" s="3">
        <f>'Előrejelzési variáns'!W38</f>
        <v>253721.07477594618</v>
      </c>
      <c r="H75" s="3">
        <f>'Előrejelzési variáns'!X38</f>
        <v>621731.39557271136</v>
      </c>
      <c r="I75" s="3">
        <f t="shared" si="29"/>
        <v>119972.6792791625</v>
      </c>
      <c r="J75" s="3">
        <f t="shared" si="30"/>
        <v>248037.64151760269</v>
      </c>
      <c r="K75" s="3">
        <f t="shared" si="31"/>
        <v>253721.07477594618</v>
      </c>
      <c r="L75" s="3">
        <f t="shared" si="32"/>
        <v>621731.39557271136</v>
      </c>
      <c r="M75" s="3">
        <f t="shared" si="33"/>
        <v>0</v>
      </c>
      <c r="N75" s="3">
        <f t="shared" si="34"/>
        <v>0</v>
      </c>
      <c r="O75" s="3">
        <f t="shared" si="35"/>
        <v>0</v>
      </c>
      <c r="P75" s="3">
        <f t="shared" si="36"/>
        <v>0</v>
      </c>
      <c r="Q75" s="3"/>
    </row>
    <row r="76" spans="4:17" x14ac:dyDescent="0.35">
      <c r="D76" s="183" t="str">
        <f t="shared" si="37"/>
        <v>Technikum</v>
      </c>
      <c r="E76" s="3">
        <f>'Előrejelzési variáns'!U39</f>
        <v>148581.60886403886</v>
      </c>
      <c r="F76" s="3">
        <f>'Előrejelzési variáns'!V39</f>
        <v>415233.23099402816</v>
      </c>
      <c r="G76" s="3">
        <f>'Előrejelzési variáns'!W39</f>
        <v>375311.25422274653</v>
      </c>
      <c r="H76" s="3">
        <f>'Előrejelzési variáns'!X39</f>
        <v>939126.09408081346</v>
      </c>
      <c r="I76" s="3">
        <f t="shared" si="29"/>
        <v>148581.60886403886</v>
      </c>
      <c r="J76" s="3">
        <f t="shared" si="30"/>
        <v>415233.23099402816</v>
      </c>
      <c r="K76" s="3">
        <f t="shared" si="31"/>
        <v>375311.25422274653</v>
      </c>
      <c r="L76" s="3">
        <f t="shared" si="32"/>
        <v>939126.09408081346</v>
      </c>
      <c r="M76" s="3">
        <f t="shared" si="33"/>
        <v>0</v>
      </c>
      <c r="N76" s="3">
        <f t="shared" si="34"/>
        <v>0</v>
      </c>
      <c r="O76" s="3">
        <f t="shared" si="35"/>
        <v>0</v>
      </c>
      <c r="P76" s="3">
        <f t="shared" si="36"/>
        <v>0</v>
      </c>
      <c r="Q76" s="3"/>
    </row>
    <row r="77" spans="4:17" x14ac:dyDescent="0.35">
      <c r="D77" s="183" t="str">
        <f t="shared" si="37"/>
        <v>Főiskola</v>
      </c>
      <c r="E77" s="3">
        <f>'Előrejelzési variáns'!U40</f>
        <v>134929.90859188893</v>
      </c>
      <c r="F77" s="3">
        <f>'Előrejelzési variáns'!V40</f>
        <v>210183.16515327847</v>
      </c>
      <c r="G77" s="3">
        <f>'Előrejelzési variáns'!W40</f>
        <v>360952.90117212397</v>
      </c>
      <c r="H77" s="3">
        <f>'Előrejelzési variáns'!X40</f>
        <v>706065.97491729143</v>
      </c>
      <c r="I77" s="3">
        <f t="shared" si="29"/>
        <v>134929.90859188893</v>
      </c>
      <c r="J77" s="3">
        <f t="shared" si="30"/>
        <v>210183.16515327847</v>
      </c>
      <c r="K77" s="3">
        <f t="shared" si="31"/>
        <v>360952.90117212397</v>
      </c>
      <c r="L77" s="3">
        <f t="shared" si="32"/>
        <v>706065.97491729143</v>
      </c>
      <c r="M77" s="3">
        <f t="shared" si="33"/>
        <v>0</v>
      </c>
      <c r="N77" s="3">
        <f t="shared" si="34"/>
        <v>0</v>
      </c>
      <c r="O77" s="3">
        <f t="shared" si="35"/>
        <v>0</v>
      </c>
      <c r="P77" s="3">
        <f t="shared" si="36"/>
        <v>0</v>
      </c>
      <c r="Q77" s="3"/>
    </row>
    <row r="78" spans="4:17" x14ac:dyDescent="0.35">
      <c r="D78" s="183" t="str">
        <f t="shared" si="37"/>
        <v>Egyetem</v>
      </c>
      <c r="E78" s="3">
        <f>'Előrejelzési variáns'!U41</f>
        <v>107869.43575659933</v>
      </c>
      <c r="F78" s="3">
        <f>'Előrejelzési variáns'!V41</f>
        <v>188749.83600823343</v>
      </c>
      <c r="G78" s="3">
        <f>'Előrejelzési variáns'!W41</f>
        <v>260690.34460179662</v>
      </c>
      <c r="H78" s="3">
        <f>'Előrejelzési variáns'!X41</f>
        <v>557309.61636662937</v>
      </c>
      <c r="I78" s="3">
        <f t="shared" si="29"/>
        <v>107869.43575659933</v>
      </c>
      <c r="J78" s="3">
        <f t="shared" si="30"/>
        <v>188749.83600823343</v>
      </c>
      <c r="K78" s="3">
        <f t="shared" si="31"/>
        <v>260690.34460179662</v>
      </c>
      <c r="L78" s="3">
        <f t="shared" si="32"/>
        <v>557309.61636662937</v>
      </c>
      <c r="M78" s="3">
        <f t="shared" si="33"/>
        <v>0</v>
      </c>
      <c r="N78" s="3">
        <f t="shared" si="34"/>
        <v>0</v>
      </c>
      <c r="O78" s="3">
        <f t="shared" si="35"/>
        <v>0</v>
      </c>
      <c r="P78" s="3">
        <f t="shared" si="36"/>
        <v>0</v>
      </c>
      <c r="Q78" s="3"/>
    </row>
    <row r="79" spans="4:17" x14ac:dyDescent="0.35">
      <c r="D79" s="183" t="str">
        <f t="shared" si="37"/>
        <v>Összesen</v>
      </c>
      <c r="E79" s="3">
        <f>'Előrejelzési variáns'!U42</f>
        <v>775275.31625160587</v>
      </c>
      <c r="F79" s="3">
        <f>'Előrejelzési variáns'!V42</f>
        <v>1988102.2230568719</v>
      </c>
      <c r="G79" s="3">
        <f>'Előrejelzési variáns'!W42</f>
        <v>1653218.7249568829</v>
      </c>
      <c r="H79" s="3">
        <f>'Előrejelzési variáns'!X42</f>
        <v>4416596.2642653612</v>
      </c>
      <c r="I79" s="3">
        <f t="shared" si="29"/>
        <v>775275.31625160587</v>
      </c>
      <c r="J79" s="3">
        <f t="shared" si="30"/>
        <v>1988102.2230568719</v>
      </c>
      <c r="K79" s="3">
        <f t="shared" si="31"/>
        <v>1653218.7249568829</v>
      </c>
      <c r="L79" s="3">
        <f t="shared" si="32"/>
        <v>4416596.2642653612</v>
      </c>
      <c r="M79" s="3">
        <f t="shared" si="33"/>
        <v>0</v>
      </c>
      <c r="N79" s="3">
        <f t="shared" si="34"/>
        <v>0</v>
      </c>
      <c r="O79" s="3">
        <f t="shared" si="35"/>
        <v>0</v>
      </c>
      <c r="P79" s="3">
        <f t="shared" si="36"/>
        <v>0</v>
      </c>
      <c r="Q79" s="3"/>
    </row>
    <row r="80" spans="4:17" x14ac:dyDescent="0.35"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</row>
    <row r="81" spans="3:17" x14ac:dyDescent="0.35">
      <c r="D81" s="183" t="s">
        <v>1183</v>
      </c>
      <c r="E81" s="3">
        <f>E61+E62+E63</f>
        <v>296963.96849243675</v>
      </c>
      <c r="F81" s="3">
        <f t="shared" ref="F81:L81" si="38">F61+F62+F63</f>
        <v>567870.87150545861</v>
      </c>
      <c r="G81" s="3">
        <f t="shared" si="38"/>
        <v>817641.42300929164</v>
      </c>
      <c r="H81" s="3">
        <f t="shared" si="38"/>
        <v>1682476.2630071868</v>
      </c>
      <c r="I81" s="3">
        <f t="shared" si="38"/>
        <v>296963.96849243675</v>
      </c>
      <c r="J81" s="3">
        <f t="shared" si="38"/>
        <v>567870.87150545861</v>
      </c>
      <c r="K81" s="3">
        <f t="shared" si="38"/>
        <v>817641.42300929164</v>
      </c>
      <c r="L81" s="3">
        <f t="shared" si="38"/>
        <v>1682476.2630071868</v>
      </c>
      <c r="M81" s="3">
        <f>M77+M78</f>
        <v>0</v>
      </c>
      <c r="N81" s="3">
        <f>N77+N78</f>
        <v>0</v>
      </c>
      <c r="O81" s="3">
        <f>O77+O78</f>
        <v>0</v>
      </c>
      <c r="P81" s="3">
        <f>P77+P78</f>
        <v>0</v>
      </c>
      <c r="Q81" s="3"/>
    </row>
    <row r="82" spans="3:17" x14ac:dyDescent="0.35">
      <c r="D82" s="183" t="s">
        <v>1181</v>
      </c>
      <c r="E82" s="3">
        <f>E64+E65+E66+E67</f>
        <v>322887.8294705273</v>
      </c>
      <c r="F82" s="3">
        <f t="shared" ref="F82:L82" si="39">F64+F65+F66+F67</f>
        <v>709273.42706135032</v>
      </c>
      <c r="G82" s="3">
        <f t="shared" si="39"/>
        <v>671829.47052951378</v>
      </c>
      <c r="H82" s="3">
        <f t="shared" si="39"/>
        <v>1703990.7270613913</v>
      </c>
      <c r="I82" s="3">
        <f t="shared" si="39"/>
        <v>322887.8294705273</v>
      </c>
      <c r="J82" s="3">
        <f t="shared" si="39"/>
        <v>709273.42706135032</v>
      </c>
      <c r="K82" s="3">
        <f t="shared" si="39"/>
        <v>671829.47052951378</v>
      </c>
      <c r="L82" s="3">
        <f t="shared" si="39"/>
        <v>1703990.7270613913</v>
      </c>
      <c r="M82" s="3">
        <f>M74+M75+M76</f>
        <v>0</v>
      </c>
      <c r="N82" s="3">
        <f>N74+N75+N76</f>
        <v>0</v>
      </c>
      <c r="O82" s="3">
        <f>O74+O75+O76</f>
        <v>0</v>
      </c>
      <c r="P82" s="3">
        <f>P74+P75+P76</f>
        <v>0</v>
      </c>
      <c r="Q82" s="3"/>
    </row>
    <row r="83" spans="3:17" x14ac:dyDescent="0.35">
      <c r="D83" s="183" t="s">
        <v>1182</v>
      </c>
      <c r="E83" s="3">
        <f>E68+E69</f>
        <v>155409.75592763859</v>
      </c>
      <c r="F83" s="3">
        <f t="shared" ref="F83:L83" si="40">F68+F69</f>
        <v>710952.16470863391</v>
      </c>
      <c r="G83" s="3">
        <f t="shared" si="40"/>
        <v>153909.53352967859</v>
      </c>
      <c r="H83" s="3">
        <f t="shared" si="40"/>
        <v>1020271.4541659511</v>
      </c>
      <c r="I83" s="3">
        <f t="shared" si="40"/>
        <v>155409.75592763859</v>
      </c>
      <c r="J83" s="3">
        <f t="shared" si="40"/>
        <v>710952.16470863391</v>
      </c>
      <c r="K83" s="3">
        <f t="shared" si="40"/>
        <v>153909.53352967859</v>
      </c>
      <c r="L83" s="3">
        <f t="shared" si="40"/>
        <v>1020271.4541659511</v>
      </c>
      <c r="M83" s="3">
        <f>M72+M73</f>
        <v>0</v>
      </c>
      <c r="N83" s="3">
        <f>N72+N73</f>
        <v>0</v>
      </c>
      <c r="O83" s="3">
        <f>O72+O73</f>
        <v>0</v>
      </c>
      <c r="P83" s="3">
        <f>P72+P73</f>
        <v>0</v>
      </c>
      <c r="Q83" s="3"/>
    </row>
    <row r="85" spans="3:17" x14ac:dyDescent="0.35">
      <c r="C85" s="183">
        <v>2025</v>
      </c>
      <c r="D85" s="183" t="str">
        <f t="shared" ref="D85:D95" si="41">D60</f>
        <v>Fegyveresek</v>
      </c>
      <c r="E85" s="3">
        <f>'Bazis modell FES adatai'!BL5</f>
        <v>-75.886549577061444</v>
      </c>
      <c r="F85" s="3">
        <f>'Bazis modell FES adatai'!BM5</f>
        <v>-13.409816308557469</v>
      </c>
      <c r="G85" s="3">
        <f>'Bazis modell FES adatai'!BN5</f>
        <v>6876.0011041102807</v>
      </c>
      <c r="H85" s="3">
        <f t="shared" ref="H85:H95" si="42">SUM(E85:G85)</f>
        <v>6786.7047382246619</v>
      </c>
      <c r="I85" s="3">
        <f>'Előrejelzési variáns'!AD23</f>
        <v>-91.033080330846047</v>
      </c>
      <c r="J85" s="3">
        <f>'Előrejelzési variáns'!AE23</f>
        <v>-12.653369775562547</v>
      </c>
      <c r="K85" s="3">
        <f>'Előrejelzési variáns'!AF23</f>
        <v>6912.8826697672066</v>
      </c>
      <c r="L85" s="3">
        <f t="shared" ref="L85:L95" si="43">SUM(I85:K85)</f>
        <v>6809.1962196607983</v>
      </c>
      <c r="M85" s="3">
        <f t="shared" ref="M85:M95" si="44">I85-E85</f>
        <v>-15.146530753784603</v>
      </c>
      <c r="N85" s="3">
        <f t="shared" ref="N85:N95" si="45">J85-F85</f>
        <v>0.75644653299492148</v>
      </c>
      <c r="O85" s="3">
        <f t="shared" ref="O85:O95" si="46">K85-G85</f>
        <v>36.881565656925886</v>
      </c>
      <c r="P85" s="3">
        <f t="shared" ref="P85:P95" si="47">SUM(M85:O85)</f>
        <v>22.491481436136205</v>
      </c>
      <c r="Q85" s="3"/>
    </row>
    <row r="86" spans="3:17" x14ac:dyDescent="0.35">
      <c r="D86" s="183" t="str">
        <f t="shared" si="41"/>
        <v>Vezetők</v>
      </c>
      <c r="E86" s="3">
        <f>'Bazis modell FES adatai'!BL6</f>
        <v>28519.681353354648</v>
      </c>
      <c r="F86" s="3">
        <f>'Bazis modell FES adatai'!BM6</f>
        <v>75846.35758733179</v>
      </c>
      <c r="G86" s="3">
        <f>'Bazis modell FES adatai'!BN6</f>
        <v>78197.112711751135</v>
      </c>
      <c r="H86" s="3">
        <f t="shared" si="42"/>
        <v>182563.15165243758</v>
      </c>
      <c r="I86" s="3">
        <f>'Előrejelzési variáns'!AD24</f>
        <v>34212.050200195699</v>
      </c>
      <c r="J86" s="3">
        <f>'Előrejelzési variáns'!AE24</f>
        <v>71567.871371184505</v>
      </c>
      <c r="K86" s="3">
        <f>'Előrejelzési variáns'!AF24</f>
        <v>78616.547191617123</v>
      </c>
      <c r="L86" s="3">
        <f t="shared" si="43"/>
        <v>184396.46876299731</v>
      </c>
      <c r="M86" s="3">
        <f t="shared" si="44"/>
        <v>5692.368846841051</v>
      </c>
      <c r="N86" s="3">
        <f t="shared" si="45"/>
        <v>-4278.4862161472847</v>
      </c>
      <c r="O86" s="3">
        <f t="shared" si="46"/>
        <v>419.43447986598767</v>
      </c>
      <c r="P86" s="3">
        <f t="shared" si="47"/>
        <v>1833.3171105597539</v>
      </c>
      <c r="Q86" s="3"/>
    </row>
    <row r="87" spans="3:17" x14ac:dyDescent="0.35">
      <c r="D87" s="183" t="str">
        <f t="shared" si="41"/>
        <v>Felsőfokúak</v>
      </c>
      <c r="E87" s="3">
        <f>'Bazis modell FES adatai'!BL7</f>
        <v>104279.58973730594</v>
      </c>
      <c r="F87" s="3">
        <f>'Bazis modell FES adatai'!BM7</f>
        <v>263192.20634928643</v>
      </c>
      <c r="G87" s="3">
        <f>'Bazis modell FES adatai'!BN7</f>
        <v>390111.33667452581</v>
      </c>
      <c r="H87" s="3">
        <f t="shared" si="42"/>
        <v>757583.13276111824</v>
      </c>
      <c r="I87" s="3">
        <f>'Előrejelzési variáns'!AD25</f>
        <v>125093.21246427177</v>
      </c>
      <c r="J87" s="3">
        <f>'Előrejelzési variáns'!AE25</f>
        <v>248345.55763888225</v>
      </c>
      <c r="K87" s="3">
        <f>'Előrejelzési variáns'!AF25</f>
        <v>392203.81988667534</v>
      </c>
      <c r="L87" s="3">
        <f t="shared" si="43"/>
        <v>765642.58998982934</v>
      </c>
      <c r="M87" s="3">
        <f t="shared" si="44"/>
        <v>20813.622726965827</v>
      </c>
      <c r="N87" s="3">
        <f t="shared" si="45"/>
        <v>-14846.648710404173</v>
      </c>
      <c r="O87" s="3">
        <f t="shared" si="46"/>
        <v>2092.4832121495274</v>
      </c>
      <c r="P87" s="3">
        <f t="shared" si="47"/>
        <v>8059.4572287111805</v>
      </c>
      <c r="Q87" s="3"/>
    </row>
    <row r="88" spans="3:17" x14ac:dyDescent="0.35">
      <c r="D88" s="183" t="str">
        <f t="shared" si="41"/>
        <v>Egyéb felső</v>
      </c>
      <c r="E88" s="3">
        <f>'Bazis modell FES adatai'!BL8</f>
        <v>200068.3679428091</v>
      </c>
      <c r="F88" s="3">
        <f>'Bazis modell FES adatai'!BM8</f>
        <v>340852.77012477885</v>
      </c>
      <c r="G88" s="3">
        <f>'Bazis modell FES adatai'!BN8</f>
        <v>408280.70534978301</v>
      </c>
      <c r="H88" s="3">
        <f t="shared" si="42"/>
        <v>949201.84341737092</v>
      </c>
      <c r="I88" s="3">
        <f>'Előrejelzési variáns'!AD26</f>
        <v>240000.89491622211</v>
      </c>
      <c r="J88" s="3">
        <f>'Előrejelzési variáns'!AE26</f>
        <v>321625.29599017301</v>
      </c>
      <c r="K88" s="3">
        <f>'Előrejelzési variáns'!AF26</f>
        <v>410470.64560907299</v>
      </c>
      <c r="L88" s="3">
        <f t="shared" si="43"/>
        <v>972096.83651546808</v>
      </c>
      <c r="M88" s="3">
        <f t="shared" si="44"/>
        <v>39932.526973413012</v>
      </c>
      <c r="N88" s="3">
        <f t="shared" si="45"/>
        <v>-19227.474134605844</v>
      </c>
      <c r="O88" s="3">
        <f t="shared" si="46"/>
        <v>2189.940259289986</v>
      </c>
      <c r="P88" s="3">
        <f t="shared" si="47"/>
        <v>22894.993098097155</v>
      </c>
      <c r="Q88" s="3"/>
    </row>
    <row r="89" spans="3:17" x14ac:dyDescent="0.35">
      <c r="D89" s="183" t="str">
        <f t="shared" si="41"/>
        <v>Iroda-ügyvitel</v>
      </c>
      <c r="E89" s="3">
        <f>'Bazis modell FES adatai'!BL9</f>
        <v>112826.46875872224</v>
      </c>
      <c r="F89" s="3">
        <f>'Bazis modell FES adatai'!BM9</f>
        <v>136531.50172311527</v>
      </c>
      <c r="G89" s="3">
        <f>'Bazis modell FES adatai'!BN9</f>
        <v>103420.57953554465</v>
      </c>
      <c r="H89" s="3">
        <f t="shared" si="42"/>
        <v>352778.55001738213</v>
      </c>
      <c r="I89" s="3">
        <f>'Előrejelzési variáns'!AD27</f>
        <v>135346.00072346808</v>
      </c>
      <c r="J89" s="3">
        <f>'Előrejelzési variáns'!AE27</f>
        <v>128829.77197927581</v>
      </c>
      <c r="K89" s="3">
        <f>'Előrejelzési variáns'!AF27</f>
        <v>103975.30790697224</v>
      </c>
      <c r="L89" s="3">
        <f t="shared" si="43"/>
        <v>368151.08060971613</v>
      </c>
      <c r="M89" s="3">
        <f t="shared" si="44"/>
        <v>22519.531964745838</v>
      </c>
      <c r="N89" s="3">
        <f t="shared" si="45"/>
        <v>-7701.7297438394598</v>
      </c>
      <c r="O89" s="3">
        <f t="shared" si="46"/>
        <v>554.72837142759818</v>
      </c>
      <c r="P89" s="3">
        <f t="shared" si="47"/>
        <v>15372.530592333977</v>
      </c>
      <c r="Q89" s="3"/>
    </row>
    <row r="90" spans="3:17" x14ac:dyDescent="0.35">
      <c r="D90" s="183" t="str">
        <f t="shared" si="41"/>
        <v>Ker-szolg</v>
      </c>
      <c r="E90" s="3">
        <f>'Bazis modell FES adatai'!BL10</f>
        <v>52914.407556101607</v>
      </c>
      <c r="F90" s="3">
        <f>'Bazis modell FES adatai'!BM10</f>
        <v>87356.525347881558</v>
      </c>
      <c r="G90" s="3">
        <f>'Bazis modell FES adatai'!BN10</f>
        <v>550953.84963848349</v>
      </c>
      <c r="H90" s="3">
        <f t="shared" si="42"/>
        <v>691224.78254246665</v>
      </c>
      <c r="I90" s="3">
        <f>'Előrejelzési variáns'!AD28</f>
        <v>63475.827278484772</v>
      </c>
      <c r="J90" s="3">
        <f>'Előrejelzési variáns'!AE28</f>
        <v>82428.751602635035</v>
      </c>
      <c r="K90" s="3">
        <f>'Előrejelzési variáns'!AF28</f>
        <v>553909.06158096425</v>
      </c>
      <c r="L90" s="3">
        <f t="shared" si="43"/>
        <v>699813.64046208409</v>
      </c>
      <c r="M90" s="3">
        <f t="shared" si="44"/>
        <v>10561.419722383165</v>
      </c>
      <c r="N90" s="3">
        <f t="shared" si="45"/>
        <v>-4927.7737452465226</v>
      </c>
      <c r="O90" s="3">
        <f t="shared" si="46"/>
        <v>2955.2119424807606</v>
      </c>
      <c r="P90" s="3">
        <f t="shared" si="47"/>
        <v>8588.8579196174032</v>
      </c>
      <c r="Q90" s="3"/>
    </row>
    <row r="91" spans="3:17" x14ac:dyDescent="0.35">
      <c r="D91" s="183" t="str">
        <f t="shared" si="41"/>
        <v>Mező-erdő</v>
      </c>
      <c r="E91" s="3">
        <f>'Bazis modell FES adatai'!BL11</f>
        <v>143048.20997442069</v>
      </c>
      <c r="F91" s="3">
        <f>'Bazis modell FES adatai'!BM11</f>
        <v>12410.824800668077</v>
      </c>
      <c r="G91" s="3">
        <f>'Bazis modell FES adatai'!BN11</f>
        <v>2535.8617603080975</v>
      </c>
      <c r="H91" s="3">
        <f t="shared" si="42"/>
        <v>157994.89653539687</v>
      </c>
      <c r="I91" s="3">
        <f>'Előrejelzési variáns'!AD29</f>
        <v>171599.83241248096</v>
      </c>
      <c r="J91" s="3">
        <f>'Előrejelzési variáns'!AE29</f>
        <v>11710.731288866447</v>
      </c>
      <c r="K91" s="3">
        <f>'Előrejelzési variáns'!AF29</f>
        <v>2549.4636417786778</v>
      </c>
      <c r="L91" s="3">
        <f t="shared" si="43"/>
        <v>185860.0273431261</v>
      </c>
      <c r="M91" s="3">
        <f t="shared" si="44"/>
        <v>28551.622438060265</v>
      </c>
      <c r="N91" s="3">
        <f t="shared" si="45"/>
        <v>-700.09351180162957</v>
      </c>
      <c r="O91" s="3">
        <f t="shared" si="46"/>
        <v>13.601881470580338</v>
      </c>
      <c r="P91" s="3">
        <f t="shared" si="47"/>
        <v>27865.13080772922</v>
      </c>
      <c r="Q91" s="3"/>
    </row>
    <row r="92" spans="3:17" x14ac:dyDescent="0.35">
      <c r="D92" s="183" t="str">
        <f t="shared" si="41"/>
        <v>ipar-épip.</v>
      </c>
      <c r="E92" s="3">
        <f>'Bazis modell FES adatai'!BL12</f>
        <v>60525.046540381991</v>
      </c>
      <c r="F92" s="3">
        <f>'Bazis modell FES adatai'!BM12</f>
        <v>551104.66037370695</v>
      </c>
      <c r="G92" s="3">
        <f>'Bazis modell FES adatai'!BN12</f>
        <v>67137.666873111972</v>
      </c>
      <c r="H92" s="3">
        <f t="shared" si="42"/>
        <v>678767.37378720089</v>
      </c>
      <c r="I92" s="3">
        <f>'Előrejelzési variáns'!AD30</f>
        <v>72605.507226859801</v>
      </c>
      <c r="J92" s="3">
        <f>'Előrejelzési variáns'!AE30</f>
        <v>520016.89600284072</v>
      </c>
      <c r="K92" s="3">
        <f>'Előrejelzési variáns'!AF30</f>
        <v>67497.780583296408</v>
      </c>
      <c r="L92" s="3">
        <f t="shared" si="43"/>
        <v>660120.18381299695</v>
      </c>
      <c r="M92" s="3">
        <f t="shared" si="44"/>
        <v>12080.460686477811</v>
      </c>
      <c r="N92" s="3">
        <f t="shared" si="45"/>
        <v>-31087.764370866236</v>
      </c>
      <c r="O92" s="3">
        <f t="shared" si="46"/>
        <v>360.11371018443606</v>
      </c>
      <c r="P92" s="3">
        <f t="shared" si="47"/>
        <v>-18647.18997420399</v>
      </c>
      <c r="Q92" s="3"/>
    </row>
    <row r="93" spans="3:17" x14ac:dyDescent="0.35">
      <c r="D93" s="183" t="str">
        <f t="shared" si="41"/>
        <v>Összeszerelők</v>
      </c>
      <c r="E93" s="3">
        <f>'Bazis modell FES adatai'!BL13</f>
        <v>97086.198167244627</v>
      </c>
      <c r="F93" s="3">
        <f>'Bazis modell FES adatai'!BM13</f>
        <v>731026.98385761725</v>
      </c>
      <c r="G93" s="3">
        <f>'Bazis modell FES adatai'!BN13</f>
        <v>22368.151668307415</v>
      </c>
      <c r="H93" s="3">
        <f t="shared" si="42"/>
        <v>850481.33369316929</v>
      </c>
      <c r="I93" s="3">
        <f>'Előrejelzési variáns'!AD31</f>
        <v>116464.06017973355</v>
      </c>
      <c r="J93" s="3">
        <f>'Előrejelzési variáns'!AE31</f>
        <v>689789.81738637004</v>
      </c>
      <c r="K93" s="3">
        <f>'Előrejelzési variáns'!AF31</f>
        <v>22488.130190981825</v>
      </c>
      <c r="L93" s="3">
        <f t="shared" si="43"/>
        <v>828742.00775708538</v>
      </c>
      <c r="M93" s="3">
        <f t="shared" si="44"/>
        <v>19377.862012488928</v>
      </c>
      <c r="N93" s="3">
        <f t="shared" si="45"/>
        <v>-41237.166471247212</v>
      </c>
      <c r="O93" s="3">
        <f t="shared" si="46"/>
        <v>119.97852267440976</v>
      </c>
      <c r="P93" s="3">
        <f t="shared" si="47"/>
        <v>-21739.325936083875</v>
      </c>
      <c r="Q93" s="3"/>
    </row>
    <row r="94" spans="3:17" x14ac:dyDescent="0.35">
      <c r="D94" s="183" t="str">
        <f t="shared" si="41"/>
        <v>szakképzetlen</v>
      </c>
      <c r="E94" s="3">
        <f>'Bazis modell FES adatai'!BL14</f>
        <v>94723.652604167364</v>
      </c>
      <c r="F94" s="3">
        <f>'Bazis modell FES adatai'!BM14</f>
        <v>134810.23190457959</v>
      </c>
      <c r="G94" s="3">
        <f>'Bazis modell FES adatai'!BN14</f>
        <v>126975.35911302209</v>
      </c>
      <c r="H94" s="3">
        <f t="shared" si="42"/>
        <v>356509.24362176907</v>
      </c>
      <c r="I94" s="3">
        <f>'Előrejelzési variáns'!AD32</f>
        <v>113629.96373935585</v>
      </c>
      <c r="J94" s="3">
        <f>'Előrejelzési variáns'!AE32</f>
        <v>127205.59883653492</v>
      </c>
      <c r="K94" s="3">
        <f>'Előrejelzési variáns'!AF32</f>
        <v>127656.43085414487</v>
      </c>
      <c r="L94" s="3">
        <f t="shared" si="43"/>
        <v>368491.99343003565</v>
      </c>
      <c r="M94" s="3">
        <f t="shared" si="44"/>
        <v>18906.311135188487</v>
      </c>
      <c r="N94" s="3">
        <f t="shared" si="45"/>
        <v>-7604.6330680446699</v>
      </c>
      <c r="O94" s="3">
        <f t="shared" si="46"/>
        <v>681.07174112278153</v>
      </c>
      <c r="P94" s="3">
        <f t="shared" si="47"/>
        <v>11982.749808266599</v>
      </c>
      <c r="Q94" s="3"/>
    </row>
    <row r="95" spans="3:17" x14ac:dyDescent="0.35">
      <c r="D95" s="183" t="str">
        <f t="shared" si="41"/>
        <v>összesen</v>
      </c>
      <c r="E95" s="3">
        <f>'Bazis modell FES adatai'!BL15</f>
        <v>893915.73608493118</v>
      </c>
      <c r="F95" s="3">
        <f>'Bazis modell FES adatai'!BM15</f>
        <v>2333118.6522526573</v>
      </c>
      <c r="G95" s="3">
        <f>'Bazis modell FES adatai'!BN15</f>
        <v>1756856.6244289477</v>
      </c>
      <c r="H95" s="3">
        <f t="shared" si="42"/>
        <v>4983891.0127665363</v>
      </c>
      <c r="I95" s="3">
        <f>'Előrejelzési variáns'!AD33</f>
        <v>1072336.3160607417</v>
      </c>
      <c r="J95" s="3">
        <f>'Előrejelzési variáns'!AE33</f>
        <v>2201507.6387269869</v>
      </c>
      <c r="K95" s="3">
        <f>'Előrejelzési variáns'!AF33</f>
        <v>1766280.0701152708</v>
      </c>
      <c r="L95" s="3">
        <f t="shared" si="43"/>
        <v>5040124.0249029994</v>
      </c>
      <c r="M95" s="3">
        <f t="shared" si="44"/>
        <v>178420.57997581048</v>
      </c>
      <c r="N95" s="3">
        <f t="shared" si="45"/>
        <v>-131611.01352567039</v>
      </c>
      <c r="O95" s="3">
        <f t="shared" si="46"/>
        <v>9423.4456863231026</v>
      </c>
      <c r="P95" s="3">
        <f t="shared" si="47"/>
        <v>56233.012136463192</v>
      </c>
      <c r="Q95" s="3"/>
    </row>
    <row r="96" spans="3:17" x14ac:dyDescent="0.35"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</row>
    <row r="97" spans="4:53" x14ac:dyDescent="0.35">
      <c r="D97" s="183" t="str">
        <f t="shared" ref="D97:D104" si="48">D72</f>
        <v>0-7 osztály</v>
      </c>
      <c r="E97" s="3">
        <f>'Bazis modell FES adatai'!BL17</f>
        <v>3463.7845736735153</v>
      </c>
      <c r="F97" s="3">
        <f>'Bazis modell FES adatai'!BM17</f>
        <v>2851.743538738403</v>
      </c>
      <c r="G97" s="3">
        <f>'Bazis modell FES adatai'!BN17</f>
        <v>5264.3229720485306</v>
      </c>
      <c r="H97" s="3">
        <f t="shared" ref="H97:H104" si="49">SUM(E97:G97)</f>
        <v>11579.85108446045</v>
      </c>
      <c r="I97" s="3">
        <f>'Előrejelzési variáns'!AD35</f>
        <v>4155.1365966872117</v>
      </c>
      <c r="J97" s="3">
        <f>'Előrejelzési variáns'!AE35</f>
        <v>2690.8769419683395</v>
      </c>
      <c r="K97" s="3">
        <f>'Előrejelzési variáns'!AF35</f>
        <v>5292.5598019141926</v>
      </c>
      <c r="L97" s="3">
        <f t="shared" ref="L97:L104" si="50">SUM(I97:K97)</f>
        <v>12138.573340569743</v>
      </c>
      <c r="M97" s="3">
        <f t="shared" ref="M97:O104" si="51">I97-E97</f>
        <v>691.35202301369645</v>
      </c>
      <c r="N97" s="3">
        <f t="shared" si="51"/>
        <v>-160.86659677006355</v>
      </c>
      <c r="O97" s="3">
        <f t="shared" si="51"/>
        <v>28.236829865662003</v>
      </c>
      <c r="P97" s="3">
        <f t="shared" ref="P97:P104" si="52">SUM(M97:O97)</f>
        <v>558.7222561092949</v>
      </c>
      <c r="Q97" s="3"/>
    </row>
    <row r="98" spans="4:53" x14ac:dyDescent="0.35">
      <c r="D98" s="182" t="str">
        <f t="shared" si="48"/>
        <v>8 osztály</v>
      </c>
      <c r="E98" s="211">
        <f>'Bazis modell FES adatai'!BL18</f>
        <v>101769.94107046125</v>
      </c>
      <c r="F98" s="211">
        <f>'Bazis modell FES adatai'!BM18</f>
        <v>263207.08309300453</v>
      </c>
      <c r="G98" s="211">
        <f>'Bazis modell FES adatai'!BN18</f>
        <v>87314.920225931666</v>
      </c>
      <c r="H98" s="211">
        <f t="shared" si="49"/>
        <v>452291.94438939745</v>
      </c>
      <c r="I98" s="211">
        <f>'Előrejelzési variáns'!AD36</f>
        <v>122082.65196357231</v>
      </c>
      <c r="J98" s="211">
        <f>'Előrejelzési variáns'!AE36</f>
        <v>248359.59518682401</v>
      </c>
      <c r="K98" s="211">
        <f>'Előrejelzési variáns'!AF36</f>
        <v>87783.260895804007</v>
      </c>
      <c r="L98" s="211">
        <f t="shared" si="50"/>
        <v>458225.50804620038</v>
      </c>
      <c r="M98" s="211">
        <f t="shared" si="51"/>
        <v>20312.710893111056</v>
      </c>
      <c r="N98" s="211">
        <f t="shared" si="51"/>
        <v>-14847.487906180526</v>
      </c>
      <c r="O98" s="211">
        <f t="shared" si="51"/>
        <v>468.3406698723411</v>
      </c>
      <c r="P98" s="211">
        <f t="shared" si="52"/>
        <v>5933.5636568028713</v>
      </c>
      <c r="Q98" s="3"/>
    </row>
    <row r="99" spans="4:53" x14ac:dyDescent="0.35">
      <c r="D99" s="183" t="str">
        <f t="shared" si="48"/>
        <v>szakiskola</v>
      </c>
      <c r="E99" s="3">
        <f>'Bazis modell FES adatai'!BL19</f>
        <v>186941.48373215669</v>
      </c>
      <c r="F99" s="3">
        <f>'Bazis modell FES adatai'!BM19</f>
        <v>766252.88477640785</v>
      </c>
      <c r="G99" s="3">
        <f>'Bazis modell FES adatai'!BN19</f>
        <v>293501.95286340336</v>
      </c>
      <c r="H99" s="3">
        <f t="shared" si="49"/>
        <v>1246696.3213719679</v>
      </c>
      <c r="I99" s="3">
        <f>'Előrejelzési variáns'!AD37</f>
        <v>224253.95805452499</v>
      </c>
      <c r="J99" s="3">
        <f>'Előrejelzési variáns'!AE37</f>
        <v>723028.62839963846</v>
      </c>
      <c r="K99" s="3">
        <f>'Előrejelzési variáns'!AF37</f>
        <v>295076.24166601815</v>
      </c>
      <c r="L99" s="3">
        <f t="shared" si="50"/>
        <v>1242358.8281201816</v>
      </c>
      <c r="M99" s="3">
        <f t="shared" si="51"/>
        <v>37312.474322368304</v>
      </c>
      <c r="N99" s="3">
        <f t="shared" si="51"/>
        <v>-43224.256376769394</v>
      </c>
      <c r="O99" s="3">
        <f t="shared" si="51"/>
        <v>1574.2888026147848</v>
      </c>
      <c r="P99" s="3">
        <f t="shared" si="52"/>
        <v>-4337.4932517863053</v>
      </c>
      <c r="Q99" s="3"/>
    </row>
    <row r="100" spans="4:53" x14ac:dyDescent="0.35">
      <c r="D100" s="183" t="str">
        <f t="shared" si="48"/>
        <v>Gimnázium</v>
      </c>
      <c r="E100" s="3">
        <f>'Bazis modell FES adatai'!BL20</f>
        <v>173718.06784817504</v>
      </c>
      <c r="F100" s="3">
        <f>'Bazis modell FES adatai'!BM20</f>
        <v>365731.09753010859</v>
      </c>
      <c r="G100" s="3">
        <f>'Bazis modell FES adatai'!BN20</f>
        <v>332414.55218431726</v>
      </c>
      <c r="H100" s="3">
        <f t="shared" si="49"/>
        <v>871863.71756260085</v>
      </c>
      <c r="I100" s="3">
        <f>'Előrejelzési variáns'!AD38</f>
        <v>208391.22233754158</v>
      </c>
      <c r="J100" s="3">
        <f>'Előrejelzési variáns'!AE38</f>
        <v>345100.23918206914</v>
      </c>
      <c r="K100" s="3">
        <f>'Előrejelzési variáns'!AF38</f>
        <v>334197.56078860245</v>
      </c>
      <c r="L100" s="3">
        <f t="shared" si="50"/>
        <v>887689.02230821317</v>
      </c>
      <c r="M100" s="3">
        <f t="shared" si="51"/>
        <v>34673.154489366541</v>
      </c>
      <c r="N100" s="3">
        <f t="shared" si="51"/>
        <v>-20630.858348039445</v>
      </c>
      <c r="O100" s="3">
        <f t="shared" si="51"/>
        <v>1783.0086042851908</v>
      </c>
      <c r="P100" s="3">
        <f t="shared" si="52"/>
        <v>15825.304745612288</v>
      </c>
      <c r="Q100" s="3"/>
    </row>
    <row r="101" spans="4:53" x14ac:dyDescent="0.35">
      <c r="D101" s="182" t="str">
        <f t="shared" si="48"/>
        <v>Technikum</v>
      </c>
      <c r="E101" s="211">
        <f>'Bazis modell FES adatai'!BL21</f>
        <v>142599.08524716127</v>
      </c>
      <c r="F101" s="211">
        <f>'Bazis modell FES adatai'!BM21</f>
        <v>428949.51192779554</v>
      </c>
      <c r="G101" s="211">
        <f>'Bazis modell FES adatai'!BN21</f>
        <v>348972.25511408277</v>
      </c>
      <c r="H101" s="211">
        <f t="shared" si="49"/>
        <v>920520.85228903964</v>
      </c>
      <c r="I101" s="211">
        <f>'Előrejelzési variáns'!AD39</f>
        <v>171061.06490225627</v>
      </c>
      <c r="J101" s="211">
        <f>'Előrejelzési variáns'!AE39</f>
        <v>404752.50850422296</v>
      </c>
      <c r="K101" s="211">
        <f>'Előrejelzési variáns'!AF39</f>
        <v>350844.07609615644</v>
      </c>
      <c r="L101" s="211">
        <f t="shared" si="50"/>
        <v>926657.6495026357</v>
      </c>
      <c r="M101" s="211">
        <f t="shared" si="51"/>
        <v>28461.979655094998</v>
      </c>
      <c r="N101" s="211">
        <f t="shared" si="51"/>
        <v>-24197.003423572576</v>
      </c>
      <c r="O101" s="211">
        <f t="shared" si="51"/>
        <v>1871.8209820736665</v>
      </c>
      <c r="P101" s="211">
        <f t="shared" si="52"/>
        <v>6136.7972135960881</v>
      </c>
      <c r="Q101" s="3"/>
    </row>
    <row r="102" spans="4:53" x14ac:dyDescent="0.35">
      <c r="D102" s="183" t="str">
        <f t="shared" si="48"/>
        <v>Főiskola</v>
      </c>
      <c r="E102" s="3">
        <f>'Bazis modell FES adatai'!BL22</f>
        <v>160768.11846428172</v>
      </c>
      <c r="F102" s="3">
        <f>'Bazis modell FES adatai'!BM22</f>
        <v>247055.62832377065</v>
      </c>
      <c r="G102" s="3">
        <f>'Bazis modell FES adatai'!BN22</f>
        <v>378754.29643410363</v>
      </c>
      <c r="H102" s="3">
        <f t="shared" si="49"/>
        <v>786578.043222156</v>
      </c>
      <c r="I102" s="3">
        <f>'Előrejelzési variáns'!AD40</f>
        <v>192856.53550417558</v>
      </c>
      <c r="J102" s="3">
        <f>'Előrejelzési variáns'!AE40</f>
        <v>233119.24252979536</v>
      </c>
      <c r="K102" s="3">
        <f>'Előrejelzési variáns'!AF40</f>
        <v>380785.86263664928</v>
      </c>
      <c r="L102" s="3">
        <f t="shared" si="50"/>
        <v>806761.64067062025</v>
      </c>
      <c r="M102" s="3">
        <f t="shared" si="51"/>
        <v>32088.417039893859</v>
      </c>
      <c r="N102" s="3">
        <f t="shared" si="51"/>
        <v>-13936.385793975292</v>
      </c>
      <c r="O102" s="3">
        <f t="shared" si="51"/>
        <v>2031.566202545655</v>
      </c>
      <c r="P102" s="3">
        <f t="shared" si="52"/>
        <v>20183.597448464221</v>
      </c>
      <c r="Q102" s="3"/>
    </row>
    <row r="103" spans="4:53" x14ac:dyDescent="0.35">
      <c r="D103" s="182" t="str">
        <f t="shared" si="48"/>
        <v>Egyetem</v>
      </c>
      <c r="E103" s="211">
        <f>'Bazis modell FES adatai'!BL23</f>
        <v>124655.25514902337</v>
      </c>
      <c r="F103" s="211">
        <f>'Bazis modell FES adatai'!BM23</f>
        <v>259070.70306283585</v>
      </c>
      <c r="G103" s="211">
        <f>'Bazis modell FES adatai'!BN23</f>
        <v>310634.32463505823</v>
      </c>
      <c r="H103" s="211">
        <f t="shared" si="49"/>
        <v>694360.2828469174</v>
      </c>
      <c r="I103" s="211">
        <f>'Előrejelzési variáns'!AD41</f>
        <v>149535.74670198589</v>
      </c>
      <c r="J103" s="211">
        <f>'Előrejelzési variáns'!AE41</f>
        <v>244456.5479824729</v>
      </c>
      <c r="K103" s="211">
        <f>'Előrejelzési variáns'!AF41</f>
        <v>312300.50823012396</v>
      </c>
      <c r="L103" s="211">
        <f t="shared" si="50"/>
        <v>706292.80291458266</v>
      </c>
      <c r="M103" s="211">
        <f t="shared" si="51"/>
        <v>24880.491552962514</v>
      </c>
      <c r="N103" s="211">
        <f t="shared" si="51"/>
        <v>-14614.155080362951</v>
      </c>
      <c r="O103" s="211">
        <f t="shared" si="51"/>
        <v>1666.183595065726</v>
      </c>
      <c r="P103" s="211">
        <f t="shared" si="52"/>
        <v>11932.520067665289</v>
      </c>
      <c r="Q103" s="3"/>
    </row>
    <row r="104" spans="4:53" x14ac:dyDescent="0.35">
      <c r="D104" s="183" t="str">
        <f t="shared" si="48"/>
        <v>Összesen</v>
      </c>
      <c r="E104" s="3">
        <f>'Bazis modell FES adatai'!BL24</f>
        <v>893915.73608493293</v>
      </c>
      <c r="F104" s="3">
        <f>'Bazis modell FES adatai'!BM24</f>
        <v>2333118.6522526615</v>
      </c>
      <c r="G104" s="3">
        <f>'Bazis modell FES adatai'!BN24</f>
        <v>1756856.6244289456</v>
      </c>
      <c r="H104" s="3">
        <f t="shared" si="49"/>
        <v>4983891.0127665401</v>
      </c>
      <c r="I104" s="3">
        <f>'Előrejelzési variáns'!AD42</f>
        <v>1072336.316060744</v>
      </c>
      <c r="J104" s="3">
        <f>'Előrejelzési variáns'!AE42</f>
        <v>2201507.6387269911</v>
      </c>
      <c r="K104" s="3">
        <f>'Előrejelzési variáns'!AF42</f>
        <v>1766280.0701152685</v>
      </c>
      <c r="L104" s="3">
        <f t="shared" si="50"/>
        <v>5040124.0249030031</v>
      </c>
      <c r="M104" s="3">
        <f t="shared" si="51"/>
        <v>178420.57997581107</v>
      </c>
      <c r="N104" s="3">
        <f t="shared" si="51"/>
        <v>-131611.01352567039</v>
      </c>
      <c r="O104" s="3">
        <f t="shared" si="51"/>
        <v>9423.4456863228697</v>
      </c>
      <c r="P104" s="3">
        <f t="shared" si="52"/>
        <v>56233.012136463542</v>
      </c>
      <c r="Q104" s="3"/>
    </row>
    <row r="105" spans="4:53" x14ac:dyDescent="0.35"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</row>
    <row r="106" spans="4:53" x14ac:dyDescent="0.35">
      <c r="D106" s="183" t="s">
        <v>1183</v>
      </c>
      <c r="E106" s="3">
        <f>E86+E87+E88</f>
        <v>332867.63903346972</v>
      </c>
      <c r="F106" s="3">
        <f t="shared" ref="F106:L106" si="53">F86+F87+F88</f>
        <v>679891.33406139701</v>
      </c>
      <c r="G106" s="3">
        <f t="shared" si="53"/>
        <v>876589.15473605995</v>
      </c>
      <c r="H106" s="3">
        <f t="shared" si="53"/>
        <v>1889348.1278309268</v>
      </c>
      <c r="I106" s="3">
        <f t="shared" si="53"/>
        <v>399306.15758068959</v>
      </c>
      <c r="J106" s="3">
        <f t="shared" si="53"/>
        <v>641538.72500023979</v>
      </c>
      <c r="K106" s="3">
        <f t="shared" si="53"/>
        <v>881291.01268736552</v>
      </c>
      <c r="L106" s="3">
        <f t="shared" si="53"/>
        <v>1922135.8952682947</v>
      </c>
      <c r="M106" s="3">
        <f>M102+M103</f>
        <v>56968.908592856373</v>
      </c>
      <c r="N106" s="3">
        <f>N102+N103</f>
        <v>-28550.540874338243</v>
      </c>
      <c r="O106" s="3">
        <f>O102+O103</f>
        <v>3697.7497976113809</v>
      </c>
      <c r="P106" s="3">
        <f>P102+P103</f>
        <v>32116.11751612951</v>
      </c>
      <c r="Q106" s="3"/>
    </row>
    <row r="107" spans="4:53" x14ac:dyDescent="0.35">
      <c r="D107" s="183" t="s">
        <v>1181</v>
      </c>
      <c r="E107" s="3">
        <f>E89+E90+E91+E92</f>
        <v>369314.13282962656</v>
      </c>
      <c r="F107" s="3">
        <f t="shared" ref="F107:L107" si="54">F89+F90+F91+F92</f>
        <v>787403.51224537182</v>
      </c>
      <c r="G107" s="3">
        <f t="shared" si="54"/>
        <v>724047.95780744823</v>
      </c>
      <c r="H107" s="3">
        <f t="shared" si="54"/>
        <v>1880765.6028824467</v>
      </c>
      <c r="I107" s="3">
        <f t="shared" si="54"/>
        <v>443027.16764129361</v>
      </c>
      <c r="J107" s="3">
        <f t="shared" si="54"/>
        <v>742986.15087361797</v>
      </c>
      <c r="K107" s="3">
        <f t="shared" si="54"/>
        <v>727931.61371301161</v>
      </c>
      <c r="L107" s="3">
        <f t="shared" si="54"/>
        <v>1913944.9322279231</v>
      </c>
      <c r="M107" s="3">
        <f>M99+M100+M101</f>
        <v>100447.60846682984</v>
      </c>
      <c r="N107" s="3">
        <f>N99+N100+N101</f>
        <v>-88052.118148381414</v>
      </c>
      <c r="O107" s="3">
        <f>O99+O100+O101</f>
        <v>5229.1183889736421</v>
      </c>
      <c r="P107" s="3">
        <f>P99+P100+P101</f>
        <v>17624.60870742207</v>
      </c>
      <c r="Q107" s="3"/>
    </row>
    <row r="108" spans="4:53" x14ac:dyDescent="0.35">
      <c r="D108" s="183" t="s">
        <v>1182</v>
      </c>
      <c r="E108" s="3">
        <f>E93+E94</f>
        <v>191809.85077141199</v>
      </c>
      <c r="F108" s="3">
        <f t="shared" ref="F108:L108" si="55">F93+F94</f>
        <v>865837.21576219681</v>
      </c>
      <c r="G108" s="3">
        <f t="shared" si="55"/>
        <v>149343.5107813295</v>
      </c>
      <c r="H108" s="3">
        <f t="shared" si="55"/>
        <v>1206990.5773149384</v>
      </c>
      <c r="I108" s="3">
        <f t="shared" si="55"/>
        <v>230094.02391908941</v>
      </c>
      <c r="J108" s="3">
        <f t="shared" si="55"/>
        <v>816995.41622290493</v>
      </c>
      <c r="K108" s="3">
        <f t="shared" si="55"/>
        <v>150144.5610451267</v>
      </c>
      <c r="L108" s="3">
        <f t="shared" si="55"/>
        <v>1197234.001187121</v>
      </c>
      <c r="M108" s="3">
        <f>M97+M98</f>
        <v>21004.062916124753</v>
      </c>
      <c r="N108" s="3">
        <f>N97+N98</f>
        <v>-15008.354502950589</v>
      </c>
      <c r="O108" s="3">
        <f>O97+O98</f>
        <v>496.5774997380031</v>
      </c>
      <c r="P108" s="3">
        <f>P97+P98</f>
        <v>6492.2859129121662</v>
      </c>
      <c r="Q108" s="3"/>
    </row>
    <row r="109" spans="4:53" x14ac:dyDescent="0.35"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</row>
    <row r="110" spans="4:53" x14ac:dyDescent="0.35"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</row>
    <row r="111" spans="4:53" x14ac:dyDescent="0.35"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</row>
    <row r="112" spans="4:53" x14ac:dyDescent="0.35">
      <c r="E112" s="3"/>
      <c r="F112" s="3"/>
      <c r="G112" s="3"/>
      <c r="H112" s="3"/>
      <c r="S112" s="183" t="s">
        <v>1193</v>
      </c>
      <c r="W112" s="183" t="s">
        <v>1166</v>
      </c>
      <c r="AH112" s="183" t="str">
        <f>CONCATENATE(S112," - ",AJ113)</f>
        <v>Foglalkoztatottak szakma szerint - 2025 Modellezés mínusz 2025 bázismodell</v>
      </c>
      <c r="AQ112" s="183" t="str">
        <f>W112</f>
        <v>Ezer fő</v>
      </c>
      <c r="AX112" s="183" t="str">
        <f>AH112</f>
        <v>Foglalkoztatottak szakma szerint - 2025 Modellezés mínusz 2025 bázismodell</v>
      </c>
      <c r="BA112" s="213"/>
    </row>
    <row r="113" spans="5:62" x14ac:dyDescent="0.35">
      <c r="E113" s="3"/>
      <c r="F113" s="3"/>
      <c r="G113" s="3"/>
      <c r="H113" s="3"/>
      <c r="AJ113" s="213" t="s">
        <v>1184</v>
      </c>
      <c r="BA113" s="213"/>
    </row>
    <row r="114" spans="5:62" x14ac:dyDescent="0.35">
      <c r="E114" s="3"/>
      <c r="F114" s="3"/>
      <c r="G114" s="3"/>
      <c r="H114" s="3"/>
      <c r="AL114" s="213"/>
      <c r="BA114" s="213"/>
    </row>
    <row r="115" spans="5:62" x14ac:dyDescent="0.35">
      <c r="E115" s="3"/>
      <c r="F115" s="3"/>
      <c r="G115" s="3"/>
      <c r="H115" s="3"/>
      <c r="AK115" s="183" t="s">
        <v>1189</v>
      </c>
      <c r="BA115" s="213"/>
    </row>
    <row r="116" spans="5:62" x14ac:dyDescent="0.35">
      <c r="E116" s="3"/>
      <c r="F116" s="3"/>
      <c r="G116" s="3"/>
      <c r="H116" s="3"/>
      <c r="AL116" s="183" t="s">
        <v>1185</v>
      </c>
      <c r="AO116" s="243">
        <f>'Elemzés 2'!AO116</f>
        <v>3.4334147496993372</v>
      </c>
      <c r="BA116" s="213"/>
    </row>
    <row r="117" spans="5:62" x14ac:dyDescent="0.35">
      <c r="E117" s="3"/>
      <c r="F117" s="3"/>
      <c r="G117" s="3"/>
      <c r="H117" s="3"/>
      <c r="AL117" s="183" t="s">
        <v>1186</v>
      </c>
      <c r="AO117" s="243"/>
      <c r="BA117" s="213"/>
    </row>
    <row r="118" spans="5:62" x14ac:dyDescent="0.35">
      <c r="E118" s="3"/>
      <c r="F118" s="3"/>
      <c r="G118" s="3"/>
      <c r="H118" s="3"/>
      <c r="AM118" s="183" t="s">
        <v>1190</v>
      </c>
      <c r="AO118" s="200">
        <f>'Elemzés 2'!AO118</f>
        <v>0.05</v>
      </c>
      <c r="BA118" s="213"/>
    </row>
    <row r="119" spans="5:62" x14ac:dyDescent="0.35">
      <c r="E119" s="3"/>
      <c r="F119" s="3"/>
      <c r="G119" s="3"/>
      <c r="H119" s="3"/>
      <c r="AL119" s="213"/>
      <c r="AM119" s="183" t="s">
        <v>1191</v>
      </c>
      <c r="AO119" s="200">
        <f>'Elemzés 2'!AO119</f>
        <v>-0.05</v>
      </c>
      <c r="BA119" s="213"/>
    </row>
    <row r="120" spans="5:62" x14ac:dyDescent="0.35">
      <c r="E120" s="3"/>
      <c r="F120" s="3"/>
      <c r="G120" s="3"/>
      <c r="H120" s="3"/>
      <c r="AL120" s="213"/>
      <c r="AM120" s="183" t="s">
        <v>1192</v>
      </c>
      <c r="AO120" s="200">
        <f>'Elemzés 2'!AO120</f>
        <v>0</v>
      </c>
      <c r="BA120" s="213"/>
    </row>
    <row r="121" spans="5:62" x14ac:dyDescent="0.35">
      <c r="E121" s="3"/>
      <c r="F121" s="3"/>
      <c r="G121" s="3"/>
      <c r="H121" s="3"/>
      <c r="AL121" s="213"/>
      <c r="AO121" s="200"/>
      <c r="BA121" s="213"/>
    </row>
    <row r="122" spans="5:62" x14ac:dyDescent="0.35">
      <c r="E122" s="3"/>
      <c r="F122" s="3"/>
      <c r="G122" s="3"/>
      <c r="H122" s="3"/>
      <c r="AK122" s="213"/>
      <c r="AL122" s="213" t="str">
        <f>CONCATENATE(AK115," ",AL116,Y117,ROUND(AO116,1),"%; ",AM118,AO118,"%;  ",AM119,AO119,"%; ",AR112,AM120,AO120,"%")</f>
        <v>A modellezési variáns tartalma: GDP növekedési ütem ( 2025/20) = 3,4%; Upstr._HÉ_% = +0,05%;  Gyárt._HÉ_% =-0,05%; Downstr._HÉ_% = +0%</v>
      </c>
      <c r="AO122" s="200"/>
      <c r="BA122" s="213"/>
    </row>
    <row r="123" spans="5:62" x14ac:dyDescent="0.35">
      <c r="E123" s="3"/>
      <c r="F123" s="3"/>
      <c r="G123" s="3"/>
      <c r="H123" s="3"/>
      <c r="AL123" s="213"/>
      <c r="AO123" s="200"/>
      <c r="BA123" s="213"/>
    </row>
    <row r="124" spans="5:62" ht="14.5" customHeight="1" x14ac:dyDescent="0.35">
      <c r="T124" s="414" t="str">
        <f>E3</f>
        <v>Upstream</v>
      </c>
      <c r="U124" s="414"/>
      <c r="V124" s="414"/>
      <c r="W124" s="414" t="str">
        <f>F3</f>
        <v>Gyártás</v>
      </c>
      <c r="X124" s="414"/>
      <c r="Y124" s="414"/>
      <c r="Z124" s="414" t="str">
        <f>G3</f>
        <v>Down-stream</v>
      </c>
      <c r="AA124" s="414"/>
      <c r="AB124" s="414"/>
      <c r="AC124" s="414" t="str">
        <f>H3</f>
        <v>Összesen</v>
      </c>
      <c r="AD124" s="414"/>
      <c r="AE124" s="414"/>
      <c r="AJ124" s="414" t="str">
        <f>T124</f>
        <v>Upstream</v>
      </c>
      <c r="AK124" s="414"/>
      <c r="AL124" s="414"/>
      <c r="AM124" s="414" t="str">
        <f>W124</f>
        <v>Gyártás</v>
      </c>
      <c r="AN124" s="414"/>
      <c r="AO124" s="414"/>
      <c r="AP124" s="414" t="str">
        <f>Z124</f>
        <v>Down-stream</v>
      </c>
      <c r="AQ124" s="414"/>
      <c r="AR124" s="414"/>
      <c r="AS124" s="414" t="str">
        <f>AC124</f>
        <v>Összesen</v>
      </c>
      <c r="AT124" s="414"/>
      <c r="AU124" s="414"/>
      <c r="AY124" s="414" t="str">
        <f t="shared" ref="AY124:BH125" si="56">T124</f>
        <v>Upstream</v>
      </c>
      <c r="AZ124" s="414">
        <f t="shared" si="56"/>
        <v>0</v>
      </c>
      <c r="BA124" s="414">
        <f t="shared" si="56"/>
        <v>0</v>
      </c>
      <c r="BB124" s="414" t="str">
        <f t="shared" si="56"/>
        <v>Gyártás</v>
      </c>
      <c r="BC124" s="414">
        <f t="shared" si="56"/>
        <v>0</v>
      </c>
      <c r="BD124" s="414">
        <f t="shared" si="56"/>
        <v>0</v>
      </c>
      <c r="BE124" s="414" t="str">
        <f t="shared" si="56"/>
        <v>Down-stream</v>
      </c>
      <c r="BF124" s="414">
        <f t="shared" si="56"/>
        <v>0</v>
      </c>
      <c r="BG124" s="414">
        <f t="shared" si="56"/>
        <v>0</v>
      </c>
      <c r="BH124" s="414" t="str">
        <f t="shared" si="56"/>
        <v>Összesen</v>
      </c>
      <c r="BI124" s="414"/>
      <c r="BJ124" s="414"/>
    </row>
    <row r="125" spans="5:62" ht="58" x14ac:dyDescent="0.35">
      <c r="T125" s="190" t="str">
        <f>D31</f>
        <v>Vezetők + felsőfokúak + Egyéb felső</v>
      </c>
      <c r="U125" s="190" t="str">
        <f>D32</f>
        <v>Szakmák</v>
      </c>
      <c r="V125" s="190" t="str">
        <f>D33</f>
        <v>Összeszerelők + szakképzetlenek</v>
      </c>
      <c r="W125" s="190" t="str">
        <f t="shared" ref="W125:AE125" si="57">T125</f>
        <v>Vezetők + felsőfokúak + Egyéb felső</v>
      </c>
      <c r="X125" s="190" t="str">
        <f t="shared" si="57"/>
        <v>Szakmák</v>
      </c>
      <c r="Y125" s="190" t="str">
        <f t="shared" si="57"/>
        <v>Összeszerelők + szakképzetlenek</v>
      </c>
      <c r="Z125" s="190" t="str">
        <f t="shared" si="57"/>
        <v>Vezetők + felsőfokúak + Egyéb felső</v>
      </c>
      <c r="AA125" s="190" t="str">
        <f t="shared" si="57"/>
        <v>Szakmák</v>
      </c>
      <c r="AB125" s="190" t="str">
        <f t="shared" si="57"/>
        <v>Összeszerelők + szakképzetlenek</v>
      </c>
      <c r="AC125" s="190" t="str">
        <f t="shared" si="57"/>
        <v>Vezetők + felsőfokúak + Egyéb felső</v>
      </c>
      <c r="AD125" s="190" t="str">
        <f t="shared" si="57"/>
        <v>Szakmák</v>
      </c>
      <c r="AE125" s="190" t="str">
        <f t="shared" si="57"/>
        <v>Összeszerelők + szakképzetlenek</v>
      </c>
      <c r="AF125" s="183" t="s">
        <v>20</v>
      </c>
      <c r="AJ125" s="210" t="str">
        <f>T125</f>
        <v>Vezetők + felsőfokúak + Egyéb felső</v>
      </c>
      <c r="AK125" s="210" t="str">
        <f>U125</f>
        <v>Szakmák</v>
      </c>
      <c r="AL125" s="210" t="str">
        <f>V125</f>
        <v>Összeszerelők + szakképzetlenek</v>
      </c>
      <c r="AM125" s="210" t="str">
        <f t="shared" ref="AM125:AU125" si="58">AJ125</f>
        <v>Vezetők + felsőfokúak + Egyéb felső</v>
      </c>
      <c r="AN125" s="210" t="str">
        <f t="shared" si="58"/>
        <v>Szakmák</v>
      </c>
      <c r="AO125" s="210" t="str">
        <f t="shared" si="58"/>
        <v>Összeszerelők + szakképzetlenek</v>
      </c>
      <c r="AP125" s="210" t="str">
        <f t="shared" si="58"/>
        <v>Vezetők + felsőfokúak + Egyéb felső</v>
      </c>
      <c r="AQ125" s="210" t="str">
        <f t="shared" si="58"/>
        <v>Szakmák</v>
      </c>
      <c r="AR125" s="210" t="str">
        <f t="shared" si="58"/>
        <v>Összeszerelők + szakképzetlenek</v>
      </c>
      <c r="AS125" s="210" t="str">
        <f t="shared" si="58"/>
        <v>Vezetők + felsőfokúak + Egyéb felső</v>
      </c>
      <c r="AT125" s="210" t="str">
        <f t="shared" si="58"/>
        <v>Szakmák</v>
      </c>
      <c r="AU125" s="210" t="str">
        <f t="shared" si="58"/>
        <v>Összeszerelők + szakképzetlenek</v>
      </c>
      <c r="AY125" s="210" t="str">
        <f t="shared" si="56"/>
        <v>Vezetők + felsőfokúak + Egyéb felső</v>
      </c>
      <c r="AZ125" s="210" t="str">
        <f t="shared" si="56"/>
        <v>Szakmák</v>
      </c>
      <c r="BA125" s="210" t="str">
        <f t="shared" si="56"/>
        <v>Összeszerelők + szakképzetlenek</v>
      </c>
      <c r="BB125" s="210" t="str">
        <f t="shared" si="56"/>
        <v>Vezetők + felsőfokúak + Egyéb felső</v>
      </c>
      <c r="BC125" s="210" t="str">
        <f t="shared" si="56"/>
        <v>Szakmák</v>
      </c>
      <c r="BD125" s="210" t="str">
        <f t="shared" si="56"/>
        <v>Összeszerelők + szakképzetlenek</v>
      </c>
      <c r="BE125" s="210" t="str">
        <f t="shared" si="56"/>
        <v>Vezetők + felsőfokúak + Egyéb felső</v>
      </c>
      <c r="BF125" s="210" t="str">
        <f t="shared" si="56"/>
        <v>Szakmák</v>
      </c>
      <c r="BG125" s="210" t="str">
        <f t="shared" si="56"/>
        <v>Összeszerelők + szakképzetlenek</v>
      </c>
      <c r="BH125" s="210" t="str">
        <f t="shared" si="56"/>
        <v>Vezetők + felsőfokúak + Egyéb felső</v>
      </c>
      <c r="BI125" s="210" t="str">
        <f>AD125</f>
        <v>Szakmák</v>
      </c>
      <c r="BJ125" s="210" t="str">
        <f>AE125</f>
        <v>Összeszerelők + szakképzetlenek</v>
      </c>
    </row>
    <row r="126" spans="5:62" x14ac:dyDescent="0.35">
      <c r="R126" s="414" t="str">
        <f>T124</f>
        <v>Upstream</v>
      </c>
      <c r="S126" s="183">
        <f>C10</f>
        <v>2011</v>
      </c>
      <c r="T126" s="3">
        <f>E31/10^3</f>
        <v>245.96199999999999</v>
      </c>
      <c r="U126" s="3">
        <f>E32/10^3</f>
        <v>257.06</v>
      </c>
      <c r="V126" s="3">
        <f>E33/10^3</f>
        <v>104.262</v>
      </c>
      <c r="AF126" s="3">
        <f>V126+Y131+AB136-H33/10^3</f>
        <v>0</v>
      </c>
      <c r="AI126" s="183" t="str">
        <f>AJ124</f>
        <v>Upstream</v>
      </c>
      <c r="AJ126" s="3">
        <f>T130-T129</f>
        <v>66.438518547219815</v>
      </c>
      <c r="AK126" s="3">
        <f>U130-U129</f>
        <v>73.713034811667058</v>
      </c>
      <c r="AL126" s="3">
        <f>V130-V129</f>
        <v>38.284173147677421</v>
      </c>
      <c r="AM126" s="3"/>
      <c r="AN126" s="3"/>
      <c r="AO126" s="3"/>
      <c r="AP126" s="3"/>
      <c r="AQ126" s="3"/>
      <c r="AR126" s="3"/>
      <c r="AS126" s="3"/>
      <c r="AT126" s="3"/>
      <c r="AU126" s="3"/>
      <c r="AW126" s="414" t="str">
        <f>R126</f>
        <v>Upstream</v>
      </c>
      <c r="AX126" s="183">
        <f>S126</f>
        <v>2011</v>
      </c>
      <c r="AY126" s="207">
        <f t="shared" ref="AY126:BA130" si="59">T126/$AC141</f>
        <v>0.40501972717871704</v>
      </c>
      <c r="AZ126" s="207">
        <f t="shared" si="59"/>
        <v>0.4232945376463072</v>
      </c>
      <c r="BA126" s="207">
        <f t="shared" si="59"/>
        <v>0.17168573517497579</v>
      </c>
      <c r="BB126" s="207"/>
      <c r="BC126" s="207"/>
      <c r="BD126" s="207"/>
      <c r="BE126" s="207"/>
      <c r="BF126" s="207"/>
      <c r="BG126" s="207"/>
      <c r="BH126" s="207">
        <f>AC141/$AC141</f>
        <v>1</v>
      </c>
      <c r="BI126" s="3"/>
      <c r="BJ126" s="3"/>
    </row>
    <row r="127" spans="5:62" x14ac:dyDescent="0.35">
      <c r="R127" s="414"/>
      <c r="S127" s="3">
        <f>C35</f>
        <v>2015</v>
      </c>
      <c r="T127" s="3">
        <f>E56/10^3</f>
        <v>270.13400000000001</v>
      </c>
      <c r="U127" s="3">
        <f>E57/10^3</f>
        <v>279.37299999999999</v>
      </c>
      <c r="V127" s="3">
        <f>E58/10^3</f>
        <v>135.43</v>
      </c>
      <c r="AF127" s="3">
        <f>V127+Y132+AB137-H58/10^3</f>
        <v>0</v>
      </c>
      <c r="AI127" s="183" t="str">
        <f>AM124</f>
        <v>Gyártás</v>
      </c>
      <c r="AJ127" s="3"/>
      <c r="AK127" s="3"/>
      <c r="AL127" s="3"/>
      <c r="AM127" s="3">
        <f>W135-W134</f>
        <v>-38.352609061157295</v>
      </c>
      <c r="AN127" s="3">
        <f>X135-X134</f>
        <v>-44.417361371753941</v>
      </c>
      <c r="AO127" s="3">
        <f>Y135-Y134</f>
        <v>-48.841799539291856</v>
      </c>
      <c r="AW127" s="414"/>
      <c r="AX127" s="183">
        <f t="shared" ref="AX127:AX140" si="60">S127</f>
        <v>2015</v>
      </c>
      <c r="AY127" s="207">
        <f t="shared" si="59"/>
        <v>0.39439247697233465</v>
      </c>
      <c r="AZ127" s="207">
        <f t="shared" si="59"/>
        <v>0.40788130879190337</v>
      </c>
      <c r="BA127" s="207">
        <f t="shared" si="59"/>
        <v>0.19772621423576181</v>
      </c>
      <c r="BB127" s="207"/>
      <c r="BC127" s="207"/>
      <c r="BD127" s="207"/>
      <c r="BE127" s="207"/>
      <c r="BF127" s="207"/>
      <c r="BG127" s="207"/>
      <c r="BH127" s="207">
        <f>AC142/$AC142</f>
        <v>1</v>
      </c>
    </row>
    <row r="128" spans="5:62" x14ac:dyDescent="0.35">
      <c r="R128" s="414"/>
      <c r="S128" s="3">
        <f>C60</f>
        <v>2020</v>
      </c>
      <c r="T128" s="3">
        <f>E81/10^3</f>
        <v>296.96396849243672</v>
      </c>
      <c r="U128" s="3">
        <f>E82/10^3</f>
        <v>322.88782947052732</v>
      </c>
      <c r="V128" s="3">
        <f>E83/10^3</f>
        <v>155.4097559276386</v>
      </c>
      <c r="AF128" s="3">
        <f>V128+Y133+AB138-H83/10^3</f>
        <v>0</v>
      </c>
      <c r="AI128" s="183" t="str">
        <f>AP124</f>
        <v>Down-stream</v>
      </c>
      <c r="AJ128" s="3"/>
      <c r="AK128" s="3"/>
      <c r="AL128" s="3"/>
      <c r="AM128" s="3"/>
      <c r="AN128" s="3"/>
      <c r="AO128" s="3"/>
      <c r="AP128" s="3">
        <f>Z140-Z139</f>
        <v>4.7018579513055556</v>
      </c>
      <c r="AQ128" s="3">
        <f>AA140-AA139</f>
        <v>3.883655905563387</v>
      </c>
      <c r="AR128" s="3">
        <f>AB140-AB139</f>
        <v>0.8010502637971797</v>
      </c>
      <c r="AS128" s="3"/>
      <c r="AT128" s="3"/>
      <c r="AU128" s="3"/>
      <c r="AW128" s="414"/>
      <c r="AX128" s="183">
        <f t="shared" si="60"/>
        <v>2020</v>
      </c>
      <c r="AY128" s="207">
        <f t="shared" si="59"/>
        <v>0.38305003905087415</v>
      </c>
      <c r="AZ128" s="207">
        <f t="shared" si="59"/>
        <v>0.41648889700531971</v>
      </c>
      <c r="BA128" s="207">
        <f t="shared" si="59"/>
        <v>0.20046106394380614</v>
      </c>
      <c r="BB128" s="207"/>
      <c r="BC128" s="207"/>
      <c r="BD128" s="207"/>
      <c r="BE128" s="207"/>
      <c r="BF128" s="207"/>
      <c r="BG128" s="207"/>
      <c r="BH128" s="207">
        <f>AC143/$AC143</f>
        <v>1</v>
      </c>
      <c r="BI128" s="3"/>
      <c r="BJ128" s="3"/>
    </row>
    <row r="129" spans="18:62" x14ac:dyDescent="0.35">
      <c r="R129" s="414"/>
      <c r="S129" s="212" t="s">
        <v>1160</v>
      </c>
      <c r="T129" s="3">
        <f>E106/10^3</f>
        <v>332.86763903346974</v>
      </c>
      <c r="U129" s="3">
        <f>E107/10^3</f>
        <v>369.31413282962654</v>
      </c>
      <c r="V129" s="3">
        <f>E108/10^3</f>
        <v>191.80985077141199</v>
      </c>
      <c r="AF129" s="3">
        <f>V129+Y134+AB139-H108/10^3</f>
        <v>0</v>
      </c>
      <c r="AI129" s="183" t="str">
        <f>AS124</f>
        <v>Összesen</v>
      </c>
      <c r="AJ129" s="3"/>
      <c r="AK129" s="3"/>
      <c r="AL129" s="3"/>
      <c r="AM129" s="3"/>
      <c r="AN129" s="3"/>
      <c r="AO129" s="3"/>
      <c r="AP129" s="3"/>
      <c r="AQ129" s="3"/>
      <c r="AR129" s="3"/>
      <c r="AS129" s="3">
        <f>AJ126+AM127+AP128</f>
        <v>32.787767437368075</v>
      </c>
      <c r="AT129" s="3">
        <f>AK126+AN127+AQ128</f>
        <v>33.179329345476503</v>
      </c>
      <c r="AU129" s="3">
        <f>AL126+AO127+AR128</f>
        <v>-9.7565761278172545</v>
      </c>
      <c r="AW129" s="414"/>
      <c r="AX129" s="183" t="str">
        <f t="shared" si="60"/>
        <v>2025 bázis</v>
      </c>
      <c r="AY129" s="207">
        <f t="shared" si="59"/>
        <v>0.37233865576115854</v>
      </c>
      <c r="AZ129" s="207">
        <f t="shared" si="59"/>
        <v>0.41310692793886916</v>
      </c>
      <c r="BA129" s="207">
        <f t="shared" si="59"/>
        <v>0.21455441629997224</v>
      </c>
      <c r="BB129" s="207"/>
      <c r="BC129" s="207"/>
      <c r="BD129" s="207"/>
      <c r="BE129" s="207"/>
      <c r="BF129" s="207"/>
      <c r="BG129" s="207"/>
      <c r="BH129" s="207">
        <f>AC144/$AC144</f>
        <v>1</v>
      </c>
      <c r="BI129" s="3"/>
      <c r="BJ129" s="3"/>
    </row>
    <row r="130" spans="18:62" x14ac:dyDescent="0.35">
      <c r="R130" s="414"/>
      <c r="S130" s="183" t="s">
        <v>1161</v>
      </c>
      <c r="T130" s="3">
        <f>I106/10^3</f>
        <v>399.30615758068956</v>
      </c>
      <c r="U130" s="3">
        <f>I107/10^3</f>
        <v>443.0271676412936</v>
      </c>
      <c r="V130" s="3">
        <f>I108/10^3</f>
        <v>230.09402391908941</v>
      </c>
      <c r="AF130" s="3">
        <f>V130+Y135+AB140-L108/10^3</f>
        <v>0</v>
      </c>
      <c r="AM130" s="3"/>
      <c r="AN130" s="3"/>
      <c r="AO130" s="3"/>
      <c r="AP130" s="3"/>
      <c r="AQ130" s="3"/>
      <c r="AR130" s="3"/>
      <c r="AS130" s="3"/>
      <c r="AT130" s="3"/>
      <c r="AU130" s="3"/>
      <c r="AW130" s="414"/>
      <c r="AX130" s="183" t="str">
        <f t="shared" si="60"/>
        <v>2025 modellezés</v>
      </c>
      <c r="AY130" s="207">
        <f t="shared" si="59"/>
        <v>0.37233865576115849</v>
      </c>
      <c r="AZ130" s="207">
        <f t="shared" si="59"/>
        <v>0.41310692793886916</v>
      </c>
      <c r="BA130" s="207">
        <f t="shared" si="59"/>
        <v>0.21455441629997227</v>
      </c>
      <c r="BB130" s="207"/>
      <c r="BC130" s="207"/>
      <c r="BD130" s="207"/>
      <c r="BE130" s="207"/>
      <c r="BF130" s="207"/>
      <c r="BG130" s="207"/>
      <c r="BH130" s="207">
        <f>AC145/$AC145</f>
        <v>1</v>
      </c>
      <c r="BI130" s="3"/>
      <c r="BJ130" s="3"/>
    </row>
    <row r="131" spans="18:62" x14ac:dyDescent="0.35">
      <c r="R131" s="413" t="str">
        <f>W124</f>
        <v>Gyártás</v>
      </c>
      <c r="S131" s="183">
        <f t="shared" ref="S131:S145" si="61">S126</f>
        <v>2011</v>
      </c>
      <c r="W131" s="3">
        <f>F31/10^3</f>
        <v>414.69200000000001</v>
      </c>
      <c r="X131" s="3">
        <f>F32/10^3</f>
        <v>617.92899999999997</v>
      </c>
      <c r="Y131" s="3">
        <f>F33/10^3</f>
        <v>541.08600000000001</v>
      </c>
      <c r="AW131" s="413" t="str">
        <f>R131</f>
        <v>Gyártás</v>
      </c>
      <c r="AX131" s="183">
        <f t="shared" si="60"/>
        <v>2011</v>
      </c>
      <c r="BB131" s="207">
        <f t="shared" ref="BB131:BD135" si="62">W131/$AD141</f>
        <v>0.26351283942944903</v>
      </c>
      <c r="BC131" s="207">
        <f t="shared" si="62"/>
        <v>0.39265822672200096</v>
      </c>
      <c r="BD131" s="207">
        <f t="shared" si="62"/>
        <v>0.34382893384854996</v>
      </c>
      <c r="BE131" s="207"/>
      <c r="BF131" s="207"/>
      <c r="BG131" s="207"/>
      <c r="BH131" s="207"/>
      <c r="BI131" s="207">
        <f>AD141/$AD141</f>
        <v>1</v>
      </c>
    </row>
    <row r="132" spans="18:62" x14ac:dyDescent="0.35">
      <c r="R132" s="413"/>
      <c r="S132" s="183">
        <f t="shared" si="61"/>
        <v>2015</v>
      </c>
      <c r="W132" s="3">
        <f>F56/10^3</f>
        <v>467.73200000000003</v>
      </c>
      <c r="X132" s="3">
        <f>F57/10^3</f>
        <v>626.62300000000005</v>
      </c>
      <c r="Y132" s="3">
        <f>F58/10^3</f>
        <v>551.34100000000001</v>
      </c>
      <c r="AW132" s="413"/>
      <c r="AX132" s="183">
        <f t="shared" si="60"/>
        <v>2015</v>
      </c>
      <c r="BB132" s="207">
        <f t="shared" si="62"/>
        <v>0.28421531072567474</v>
      </c>
      <c r="BC132" s="207">
        <f t="shared" si="62"/>
        <v>0.38076473419149104</v>
      </c>
      <c r="BD132" s="207">
        <f t="shared" si="62"/>
        <v>0.33501995508283428</v>
      </c>
      <c r="BE132" s="207"/>
      <c r="BF132" s="207"/>
      <c r="BG132" s="207"/>
      <c r="BH132" s="207"/>
      <c r="BI132" s="207">
        <f>AD142/$AD142</f>
        <v>1</v>
      </c>
    </row>
    <row r="133" spans="18:62" x14ac:dyDescent="0.35">
      <c r="R133" s="413"/>
      <c r="S133" s="183">
        <f t="shared" si="61"/>
        <v>2020</v>
      </c>
      <c r="W133" s="3">
        <f>F81/10^3</f>
        <v>567.87087150545858</v>
      </c>
      <c r="X133" s="3">
        <f>F82/10^3</f>
        <v>709.27342706135028</v>
      </c>
      <c r="Y133" s="3">
        <f>F83/10^3</f>
        <v>710.95216470863386</v>
      </c>
      <c r="AW133" s="413"/>
      <c r="AX133" s="183">
        <f t="shared" si="60"/>
        <v>2020</v>
      </c>
      <c r="BB133" s="207">
        <f t="shared" si="62"/>
        <v>0.28563547191763322</v>
      </c>
      <c r="BC133" s="207">
        <f t="shared" si="62"/>
        <v>0.35676006680923478</v>
      </c>
      <c r="BD133" s="207">
        <f t="shared" si="62"/>
        <v>0.35760446127313206</v>
      </c>
      <c r="BE133" s="207"/>
      <c r="BF133" s="207"/>
      <c r="BG133" s="207"/>
      <c r="BH133" s="207"/>
      <c r="BI133" s="207">
        <f>AD143/$AD143</f>
        <v>1</v>
      </c>
    </row>
    <row r="134" spans="18:62" x14ac:dyDescent="0.35">
      <c r="R134" s="413"/>
      <c r="S134" s="183" t="str">
        <f t="shared" si="61"/>
        <v>2025 bázis</v>
      </c>
      <c r="W134" s="3">
        <f>F106/10^3</f>
        <v>679.89133406139706</v>
      </c>
      <c r="X134" s="3">
        <f>F107/10^3</f>
        <v>787.40351224537187</v>
      </c>
      <c r="Y134" s="3">
        <f>F108/10^3</f>
        <v>865.83721576219682</v>
      </c>
      <c r="AW134" s="413"/>
      <c r="AX134" s="183" t="str">
        <f t="shared" si="60"/>
        <v>2025 bázis</v>
      </c>
      <c r="BB134" s="207">
        <f t="shared" si="62"/>
        <v>0.29140713683325997</v>
      </c>
      <c r="BC134" s="207">
        <f t="shared" si="62"/>
        <v>0.33748775950004356</v>
      </c>
      <c r="BD134" s="207">
        <f t="shared" si="62"/>
        <v>0.37110510366669647</v>
      </c>
      <c r="BE134" s="207"/>
      <c r="BF134" s="207"/>
      <c r="BG134" s="207"/>
      <c r="BH134" s="207"/>
      <c r="BI134" s="207">
        <f>AD144/$AD144</f>
        <v>1</v>
      </c>
    </row>
    <row r="135" spans="18:62" x14ac:dyDescent="0.35">
      <c r="R135" s="413"/>
      <c r="S135" s="183" t="str">
        <f t="shared" si="61"/>
        <v>2025 modellezés</v>
      </c>
      <c r="W135" s="3">
        <f>J106/10^3</f>
        <v>641.53872500023976</v>
      </c>
      <c r="X135" s="3">
        <f>J107/10^3</f>
        <v>742.98615087361793</v>
      </c>
      <c r="Y135" s="3">
        <f>J108/10^3</f>
        <v>816.99541622290496</v>
      </c>
      <c r="AW135" s="413"/>
      <c r="AX135" s="183" t="str">
        <f t="shared" si="60"/>
        <v>2025 modellezés</v>
      </c>
      <c r="BB135" s="207">
        <f t="shared" si="62"/>
        <v>0.29140713683325997</v>
      </c>
      <c r="BC135" s="207">
        <f t="shared" si="62"/>
        <v>0.33748775950004356</v>
      </c>
      <c r="BD135" s="207">
        <f t="shared" si="62"/>
        <v>0.37110510366669647</v>
      </c>
      <c r="BE135" s="207"/>
      <c r="BF135" s="207"/>
      <c r="BG135" s="207"/>
      <c r="BH135" s="207"/>
      <c r="BI135" s="207">
        <f>AD145/$AD145</f>
        <v>1</v>
      </c>
    </row>
    <row r="136" spans="18:62" x14ac:dyDescent="0.35">
      <c r="R136" s="414" t="str">
        <f>Z124</f>
        <v>Down-stream</v>
      </c>
      <c r="S136" s="183">
        <f t="shared" si="61"/>
        <v>2011</v>
      </c>
      <c r="Z136" s="3">
        <f>G31/10^3</f>
        <v>708.09699999999998</v>
      </c>
      <c r="AA136" s="3">
        <f>G32/10^3</f>
        <v>583.91700000000003</v>
      </c>
      <c r="AB136" s="3">
        <f>G33/10^3</f>
        <v>157.51300000000001</v>
      </c>
      <c r="AW136" s="414" t="str">
        <f>R136</f>
        <v>Down-stream</v>
      </c>
      <c r="AX136" s="183">
        <f t="shared" si="60"/>
        <v>2011</v>
      </c>
      <c r="BE136" s="207">
        <f t="shared" ref="BE136:BG140" si="63">Z136/$AE141</f>
        <v>0.48850211137840133</v>
      </c>
      <c r="BF136" s="207">
        <f t="shared" si="63"/>
        <v>0.40283278614334195</v>
      </c>
      <c r="BG136" s="207">
        <f t="shared" si="63"/>
        <v>0.1086651024782567</v>
      </c>
      <c r="BH136" s="207"/>
      <c r="BI136" s="207"/>
      <c r="BJ136" s="207">
        <f>AE141/$AE141</f>
        <v>1</v>
      </c>
    </row>
    <row r="137" spans="18:62" x14ac:dyDescent="0.35">
      <c r="R137" s="414"/>
      <c r="S137" s="183">
        <f t="shared" si="61"/>
        <v>2015</v>
      </c>
      <c r="Z137" s="3">
        <f>G56/10^3</f>
        <v>778.803</v>
      </c>
      <c r="AA137" s="3">
        <f>G57/10^3</f>
        <v>629.60900000000004</v>
      </c>
      <c r="AB137" s="3">
        <f>G58/10^3</f>
        <v>137.46299999999999</v>
      </c>
      <c r="AW137" s="414"/>
      <c r="AX137" s="183">
        <f t="shared" si="60"/>
        <v>2015</v>
      </c>
      <c r="BE137" s="207">
        <f t="shared" si="63"/>
        <v>0.50379429125899566</v>
      </c>
      <c r="BF137" s="207">
        <f t="shared" si="63"/>
        <v>0.40728325382065178</v>
      </c>
      <c r="BG137" s="207">
        <f t="shared" si="63"/>
        <v>8.8922454920352542E-2</v>
      </c>
      <c r="BH137" s="207"/>
      <c r="BI137" s="207"/>
      <c r="BJ137" s="207">
        <f>AE142/$AE142</f>
        <v>1</v>
      </c>
    </row>
    <row r="138" spans="18:62" x14ac:dyDescent="0.35">
      <c r="R138" s="414"/>
      <c r="S138" s="183">
        <f t="shared" si="61"/>
        <v>2020</v>
      </c>
      <c r="Z138" s="3">
        <f>G81/10^3</f>
        <v>817.64142300929166</v>
      </c>
      <c r="AA138" s="3">
        <f>G82/10^3</f>
        <v>671.82947052951374</v>
      </c>
      <c r="AB138" s="3">
        <f>G83/10^3</f>
        <v>153.90953352967858</v>
      </c>
      <c r="AW138" s="414"/>
      <c r="AX138" s="183">
        <f t="shared" si="60"/>
        <v>2020</v>
      </c>
      <c r="BE138" s="207">
        <f t="shared" si="63"/>
        <v>0.49753630354952405</v>
      </c>
      <c r="BF138" s="207">
        <f t="shared" si="63"/>
        <v>0.40880946338635982</v>
      </c>
      <c r="BG138" s="207">
        <f t="shared" si="63"/>
        <v>9.3654233064116188E-2</v>
      </c>
      <c r="BH138" s="207"/>
      <c r="BI138" s="207"/>
      <c r="BJ138" s="207">
        <f>AE143/$AE143</f>
        <v>1</v>
      </c>
    </row>
    <row r="139" spans="18:62" x14ac:dyDescent="0.35">
      <c r="R139" s="414"/>
      <c r="S139" s="183" t="str">
        <f t="shared" si="61"/>
        <v>2025 bázis</v>
      </c>
      <c r="Z139" s="3">
        <f>G106/10^3</f>
        <v>876.58915473605998</v>
      </c>
      <c r="AA139" s="3">
        <f>G107/10^3</f>
        <v>724.04795780744826</v>
      </c>
      <c r="AB139" s="3">
        <f>G108/10^3</f>
        <v>149.34351078132951</v>
      </c>
      <c r="AW139" s="414"/>
      <c r="AX139" s="183" t="str">
        <f t="shared" si="60"/>
        <v>2025 bázis</v>
      </c>
      <c r="BE139" s="207">
        <f t="shared" si="63"/>
        <v>0.50091363472962536</v>
      </c>
      <c r="BF139" s="207">
        <f t="shared" si="63"/>
        <v>0.41374627133402714</v>
      </c>
      <c r="BG139" s="207">
        <f t="shared" si="63"/>
        <v>8.534009393634745E-2</v>
      </c>
      <c r="BH139" s="207"/>
      <c r="BI139" s="207"/>
      <c r="BJ139" s="207">
        <f>AE144/$AE144</f>
        <v>1</v>
      </c>
    </row>
    <row r="140" spans="18:62" x14ac:dyDescent="0.35">
      <c r="R140" s="414"/>
      <c r="S140" s="183" t="str">
        <f t="shared" si="61"/>
        <v>2025 modellezés</v>
      </c>
      <c r="Z140" s="3">
        <f>K106/10^3</f>
        <v>881.29101268736554</v>
      </c>
      <c r="AA140" s="3">
        <f>K107/10^3</f>
        <v>727.93161371301164</v>
      </c>
      <c r="AB140" s="3">
        <f>K108/10^3</f>
        <v>150.14456104512669</v>
      </c>
      <c r="AW140" s="414"/>
      <c r="AX140" s="183" t="str">
        <f t="shared" si="60"/>
        <v>2025 modellezés</v>
      </c>
      <c r="BE140" s="207">
        <f t="shared" si="63"/>
        <v>0.50091363472962547</v>
      </c>
      <c r="BF140" s="207">
        <f t="shared" si="63"/>
        <v>0.41374627133402719</v>
      </c>
      <c r="BG140" s="207">
        <f t="shared" si="63"/>
        <v>8.534009393634745E-2</v>
      </c>
      <c r="BH140" s="207"/>
      <c r="BI140" s="207"/>
      <c r="BJ140" s="207">
        <f>AE145/$AE145</f>
        <v>1</v>
      </c>
    </row>
    <row r="141" spans="18:62" x14ac:dyDescent="0.35">
      <c r="R141" s="414" t="str">
        <f>AC124</f>
        <v>Összesen</v>
      </c>
      <c r="S141" s="183">
        <f t="shared" si="61"/>
        <v>2011</v>
      </c>
      <c r="AC141" s="3">
        <f>SUM(T126:V126)</f>
        <v>607.28399999999999</v>
      </c>
      <c r="AD141" s="3">
        <f>SUM(W131:Y131)</f>
        <v>1573.7070000000001</v>
      </c>
      <c r="AE141" s="3">
        <f>SUM(Z136:AB136)</f>
        <v>1449.527</v>
      </c>
    </row>
    <row r="142" spans="18:62" x14ac:dyDescent="0.35">
      <c r="R142" s="414"/>
      <c r="S142" s="183">
        <f t="shared" si="61"/>
        <v>2015</v>
      </c>
      <c r="AC142" s="3">
        <f>SUM(T127:V127)</f>
        <v>684.93700000000013</v>
      </c>
      <c r="AD142" s="3">
        <f>SUM(W132:Y132)</f>
        <v>1645.6959999999999</v>
      </c>
      <c r="AE142" s="3">
        <f>SUM(Z137:AB137)</f>
        <v>1545.875</v>
      </c>
    </row>
    <row r="143" spans="18:62" x14ac:dyDescent="0.35">
      <c r="R143" s="414"/>
      <c r="S143" s="183">
        <f t="shared" si="61"/>
        <v>2020</v>
      </c>
      <c r="AC143" s="3">
        <f>SUM(T128:V128)</f>
        <v>775.26155389060261</v>
      </c>
      <c r="AD143" s="3">
        <f>SUM(W133:Y133)</f>
        <v>1988.0964632754426</v>
      </c>
      <c r="AE143" s="3">
        <f>SUM(Z138:AB138)</f>
        <v>1643.3804270684839</v>
      </c>
    </row>
    <row r="144" spans="18:62" x14ac:dyDescent="0.35">
      <c r="R144" s="414"/>
      <c r="S144" s="183" t="str">
        <f t="shared" si="61"/>
        <v>2025 bázis</v>
      </c>
      <c r="AC144" s="3">
        <f>SUM(T129:V129)</f>
        <v>893.9916226345083</v>
      </c>
      <c r="AD144" s="3">
        <f>SUM(W134:Y134)</f>
        <v>2333.1320620689658</v>
      </c>
      <c r="AE144" s="3">
        <f>SUM(Z139:AB139)</f>
        <v>1749.9806233248378</v>
      </c>
    </row>
    <row r="145" spans="18:31" x14ac:dyDescent="0.35">
      <c r="R145" s="414"/>
      <c r="S145" s="183" t="str">
        <f t="shared" si="61"/>
        <v>2025 modellezés</v>
      </c>
      <c r="AC145" s="3">
        <f>SUM(T130:V130)</f>
        <v>1072.4273491410727</v>
      </c>
      <c r="AD145" s="3">
        <f>SUM(W135:Y135)</f>
        <v>2201.5202920967627</v>
      </c>
      <c r="AE145" s="3">
        <f>SUM(Z140:AB140)</f>
        <v>1759.3671874455038</v>
      </c>
    </row>
  </sheetData>
  <sheetProtection algorithmName="SHA-512" hashValue="cdn5RxytRUhw3tFi0ErJhVU0dMCrfO2ynVkWXd+r7nCs85j5NnOpUFd4v6dU33P+ijraFSDVE+oqdxdiF25J6A==" saltValue="O+vtvKVsB0r+xrCDzPjdeQ==" spinCount="100000" sheet="1" formatCells="0" formatColumns="0" formatRows="0" insertColumns="0" insertRows="0" insertHyperlinks="0" deleteColumns="0" deleteRows="0"/>
  <mergeCells count="22">
    <mergeCell ref="E2:H2"/>
    <mergeCell ref="I2:L2"/>
    <mergeCell ref="M2:P2"/>
    <mergeCell ref="T124:V124"/>
    <mergeCell ref="W124:Y124"/>
    <mergeCell ref="R136:R140"/>
    <mergeCell ref="AW136:AW140"/>
    <mergeCell ref="R141:R145"/>
    <mergeCell ref="R131:R135"/>
    <mergeCell ref="AW131:AW135"/>
    <mergeCell ref="BB124:BD124"/>
    <mergeCell ref="BE124:BG124"/>
    <mergeCell ref="BH124:BJ124"/>
    <mergeCell ref="R126:R130"/>
    <mergeCell ref="AW126:AW130"/>
    <mergeCell ref="AS124:AU124"/>
    <mergeCell ref="AY124:BA124"/>
    <mergeCell ref="Z124:AB124"/>
    <mergeCell ref="AC124:AE124"/>
    <mergeCell ref="AJ124:AL124"/>
    <mergeCell ref="AM124:AO124"/>
    <mergeCell ref="AP124:AR124"/>
  </mergeCells>
  <pageMargins left="0.7" right="0.7" top="0.75" bottom="0.75" header="0.3" footer="0.3"/>
  <pageSetup paperSize="9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9</vt:i4>
      </vt:variant>
    </vt:vector>
  </HeadingPairs>
  <TitlesOfParts>
    <vt:vector size="9" baseType="lpstr">
      <vt:lpstr>Munkalapok</vt:lpstr>
      <vt:lpstr>Peremszámok</vt:lpstr>
      <vt:lpstr>Bázis modell AKM-ei</vt:lpstr>
      <vt:lpstr>Bazis modell FES adatai</vt:lpstr>
      <vt:lpstr>Variánsképzés</vt:lpstr>
      <vt:lpstr>Előrejelzési variáns</vt:lpstr>
      <vt:lpstr>Elemzés 1</vt:lpstr>
      <vt:lpstr>Elemzés 2</vt:lpstr>
      <vt:lpstr>Elemzés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Boda György</dc:creator>
  <cp:lastModifiedBy>Internyet</cp:lastModifiedBy>
  <dcterms:created xsi:type="dcterms:W3CDTF">2021-04-17T15:16:52Z</dcterms:created>
  <dcterms:modified xsi:type="dcterms:W3CDTF">2021-12-22T14:44:34Z</dcterms:modified>
</cp:coreProperties>
</file>